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5" windowWidth="10515" windowHeight="11580"/>
  </bookViews>
  <sheets>
    <sheet name="mean_monthly_rainfall_mm" sheetId="7" r:id="rId1"/>
    <sheet name="Sheet1" sheetId="6" r:id="rId2"/>
    <sheet name="Waste Water (2)" sheetId="5" r:id="rId3"/>
    <sheet name="Stormwater" sheetId="2" r:id="rId4"/>
    <sheet name="Stormwater pervious concrete" sheetId="4" r:id="rId5"/>
    <sheet name="ETS sizing" sheetId="3" r:id="rId6"/>
  </sheets>
  <definedNames>
    <definedName name="_xlnm.Print_Area" localSheetId="2">'Waste Water (2)'!$A$1:$R$65</definedName>
  </definedNames>
  <calcPr calcId="145621"/>
</workbook>
</file>

<file path=xl/calcChain.xml><?xml version="1.0" encoding="utf-8"?>
<calcChain xmlns="http://schemas.openxmlformats.org/spreadsheetml/2006/main">
  <c r="M34" i="5" l="1"/>
  <c r="D29" i="5" l="1"/>
  <c r="D28" i="5"/>
  <c r="D26" i="5"/>
  <c r="D25" i="5"/>
  <c r="D33" i="5" l="1"/>
  <c r="D35" i="5" l="1"/>
  <c r="D34" i="5"/>
  <c r="O27" i="5"/>
  <c r="O26" i="5"/>
  <c r="O25" i="5"/>
  <c r="D11" i="5"/>
  <c r="D12" i="5" s="1"/>
  <c r="O22" i="3"/>
  <c r="P23" i="3"/>
  <c r="P24" i="3"/>
  <c r="P25" i="3"/>
  <c r="O25" i="3" s="1"/>
  <c r="P26" i="3"/>
  <c r="P27" i="3"/>
  <c r="O27" i="3" s="1"/>
  <c r="P28" i="3"/>
  <c r="O28" i="3" s="1"/>
  <c r="P29" i="3"/>
  <c r="P30" i="3"/>
  <c r="P31" i="3"/>
  <c r="P32" i="3"/>
  <c r="O32" i="3" s="1"/>
  <c r="P22" i="3"/>
  <c r="O33" i="3"/>
  <c r="O29" i="3"/>
  <c r="S22" i="3"/>
  <c r="O23" i="3"/>
  <c r="O24" i="3"/>
  <c r="O26" i="3"/>
  <c r="O30" i="3"/>
  <c r="O31" i="3"/>
  <c r="S23" i="3"/>
  <c r="S24" i="3"/>
  <c r="S25" i="3"/>
  <c r="S26" i="3"/>
  <c r="S27" i="3"/>
  <c r="S28" i="3"/>
  <c r="S29" i="3"/>
  <c r="S30" i="3"/>
  <c r="S31" i="3"/>
  <c r="S32" i="3"/>
  <c r="S33" i="3"/>
  <c r="Q23" i="3"/>
  <c r="Q24" i="3"/>
  <c r="Q25" i="3"/>
  <c r="Q26" i="3"/>
  <c r="Q27" i="3"/>
  <c r="Q28" i="3"/>
  <c r="Q29" i="3"/>
  <c r="Q30" i="3"/>
  <c r="Q31" i="3"/>
  <c r="Q32" i="3"/>
  <c r="Q33" i="3"/>
  <c r="Q22" i="3"/>
  <c r="L34" i="3"/>
  <c r="M23" i="3"/>
  <c r="M24" i="3"/>
  <c r="M25" i="3"/>
  <c r="M26" i="3"/>
  <c r="M27" i="3"/>
  <c r="M28" i="3"/>
  <c r="M29" i="3"/>
  <c r="M30" i="3"/>
  <c r="M31" i="3"/>
  <c r="M32" i="3"/>
  <c r="M33" i="3"/>
  <c r="M22" i="3"/>
  <c r="K18" i="3"/>
  <c r="K17" i="3"/>
  <c r="K11" i="3"/>
  <c r="K9" i="3"/>
  <c r="K26" i="3" s="1"/>
  <c r="N26" i="3" s="1"/>
  <c r="K33" i="3" l="1"/>
  <c r="N33" i="3" s="1"/>
  <c r="P33" i="3" s="1"/>
  <c r="K25" i="3"/>
  <c r="N25" i="3" s="1"/>
  <c r="K32" i="3"/>
  <c r="N32" i="3" s="1"/>
  <c r="K28" i="3"/>
  <c r="N28" i="3" s="1"/>
  <c r="K24" i="3"/>
  <c r="N24" i="3" s="1"/>
  <c r="K29" i="3"/>
  <c r="N29" i="3" s="1"/>
  <c r="K31" i="3"/>
  <c r="N31" i="3" s="1"/>
  <c r="K27" i="3"/>
  <c r="N27" i="3" s="1"/>
  <c r="K23" i="3"/>
  <c r="N23" i="3" s="1"/>
  <c r="K22" i="3"/>
  <c r="K30" i="3"/>
  <c r="N30" i="3" s="1"/>
  <c r="O28" i="5"/>
  <c r="D36" i="5"/>
  <c r="D13" i="5"/>
  <c r="D16" i="5" s="1"/>
  <c r="D30" i="5"/>
  <c r="B21" i="4"/>
  <c r="B18" i="4"/>
  <c r="Q17" i="4"/>
  <c r="R17" i="4" s="1"/>
  <c r="P17" i="4"/>
  <c r="K17" i="4"/>
  <c r="L17" i="4" s="1"/>
  <c r="M17" i="4" s="1"/>
  <c r="I17" i="4"/>
  <c r="F17" i="4"/>
  <c r="G17" i="4" s="1"/>
  <c r="H17" i="4" s="1"/>
  <c r="B17" i="4"/>
  <c r="P16" i="4"/>
  <c r="Q16" i="4" s="1"/>
  <c r="R16" i="4" s="1"/>
  <c r="N16" i="4"/>
  <c r="K16" i="4"/>
  <c r="L16" i="4" s="1"/>
  <c r="M16" i="4" s="1"/>
  <c r="I16" i="4"/>
  <c r="F16" i="4"/>
  <c r="G16" i="4" s="1"/>
  <c r="H16" i="4" s="1"/>
  <c r="B16" i="4"/>
  <c r="Q12" i="4"/>
  <c r="R12" i="4" s="1"/>
  <c r="P12" i="4"/>
  <c r="K12" i="4"/>
  <c r="L12" i="4" s="1"/>
  <c r="M12" i="4" s="1"/>
  <c r="F12" i="4"/>
  <c r="G12" i="4" s="1"/>
  <c r="H12" i="4" s="1"/>
  <c r="B12" i="4"/>
  <c r="P11" i="4"/>
  <c r="Q11" i="4" s="1"/>
  <c r="R11" i="4" s="1"/>
  <c r="K11" i="4"/>
  <c r="L11" i="4" s="1"/>
  <c r="M11" i="4" s="1"/>
  <c r="G11" i="4"/>
  <c r="H11" i="4" s="1"/>
  <c r="F11" i="4"/>
  <c r="B11" i="4"/>
  <c r="Q10" i="4"/>
  <c r="R10" i="4" s="1"/>
  <c r="P10" i="4"/>
  <c r="K10" i="4"/>
  <c r="L10" i="4" s="1"/>
  <c r="M10" i="4" s="1"/>
  <c r="F10" i="4"/>
  <c r="B20" i="4" s="1"/>
  <c r="B10" i="4"/>
  <c r="B13" i="4" s="1"/>
  <c r="N22" i="3" l="1"/>
  <c r="N34" i="3" s="1"/>
  <c r="K34" i="3"/>
  <c r="F36" i="5"/>
  <c r="M33" i="5"/>
  <c r="F30" i="5"/>
  <c r="D19" i="5"/>
  <c r="M14" i="5" s="1"/>
  <c r="M13" i="5"/>
  <c r="M15" i="5" s="1"/>
  <c r="M18" i="5" s="1"/>
  <c r="B22" i="4"/>
  <c r="B23" i="4" s="1"/>
  <c r="G10" i="4"/>
  <c r="H10" i="4" s="1"/>
  <c r="N16" i="2"/>
  <c r="P16" i="2" s="1"/>
  <c r="Q16" i="2" s="1"/>
  <c r="R16" i="2" s="1"/>
  <c r="P17" i="2"/>
  <c r="Q17" i="2" s="1"/>
  <c r="R17" i="2" s="1"/>
  <c r="I17" i="2"/>
  <c r="B17" i="2" s="1"/>
  <c r="F17" i="2"/>
  <c r="G17" i="2" s="1"/>
  <c r="H17" i="2" s="1"/>
  <c r="F16" i="2"/>
  <c r="G16" i="2" s="1"/>
  <c r="H16" i="2" s="1"/>
  <c r="R11" i="2"/>
  <c r="Q11" i="2"/>
  <c r="Q12" i="2"/>
  <c r="R12" i="2" s="1"/>
  <c r="P11" i="2"/>
  <c r="P12" i="2"/>
  <c r="P10" i="2"/>
  <c r="Q10" i="2" s="1"/>
  <c r="R10" i="2" s="1"/>
  <c r="B11" i="2"/>
  <c r="B12" i="2"/>
  <c r="B10" i="2"/>
  <c r="B13" i="2" s="1"/>
  <c r="K11" i="2"/>
  <c r="K12" i="2"/>
  <c r="L12" i="2" s="1"/>
  <c r="M12" i="2" s="1"/>
  <c r="K10" i="2"/>
  <c r="L10" i="2" s="1"/>
  <c r="M10" i="2" s="1"/>
  <c r="L11" i="2"/>
  <c r="M11" i="2" s="1"/>
  <c r="F11" i="2"/>
  <c r="G11" i="2" s="1"/>
  <c r="H11" i="2" s="1"/>
  <c r="F12" i="2"/>
  <c r="G12" i="2" s="1"/>
  <c r="H12" i="2" s="1"/>
  <c r="F10" i="2"/>
  <c r="G10" i="2" s="1"/>
  <c r="H10" i="2" s="1"/>
  <c r="F38" i="5" l="1"/>
  <c r="B20" i="2"/>
  <c r="B22" i="2"/>
  <c r="K17" i="2"/>
  <c r="L17" i="2" s="1"/>
  <c r="M17" i="2" s="1"/>
  <c r="I16" i="2"/>
  <c r="B21" i="2"/>
  <c r="B23" i="2"/>
  <c r="K16" i="2" l="1"/>
  <c r="L16" i="2" s="1"/>
  <c r="M16" i="2" s="1"/>
  <c r="B16" i="2"/>
  <c r="B18" i="2" s="1"/>
  <c r="M35" i="5" l="1"/>
  <c r="M36" i="5" s="1"/>
</calcChain>
</file>

<file path=xl/sharedStrings.xml><?xml version="1.0" encoding="utf-8"?>
<sst xmlns="http://schemas.openxmlformats.org/spreadsheetml/2006/main" count="342" uniqueCount="164">
  <si>
    <t>Hand Wash Basins</t>
  </si>
  <si>
    <t>Showers</t>
  </si>
  <si>
    <t>Dishwashers</t>
  </si>
  <si>
    <t>Washing Machine</t>
  </si>
  <si>
    <t>Toilets</t>
  </si>
  <si>
    <t>Kitchen sink</t>
  </si>
  <si>
    <t>Number of people</t>
  </si>
  <si>
    <t>Number of Bedrooms</t>
  </si>
  <si>
    <t>Lper person/day</t>
  </si>
  <si>
    <t>L per day</t>
  </si>
  <si>
    <t>Total water generation</t>
  </si>
  <si>
    <t>2/3 from greywater</t>
  </si>
  <si>
    <t>1/3 from black water</t>
  </si>
  <si>
    <t>Bath</t>
  </si>
  <si>
    <t>Greywater Sources</t>
  </si>
  <si>
    <t>Blackwater Sources</t>
  </si>
  <si>
    <t>L per wash</t>
  </si>
  <si>
    <t>TP58 Requirements</t>
  </si>
  <si>
    <t>1min, 5 times per day per person (LEED and TP58)</t>
  </si>
  <si>
    <t>1 min 4 times a day (LEED)</t>
  </si>
  <si>
    <t>5 minute shower once a day</t>
  </si>
  <si>
    <t>L/min</t>
  </si>
  <si>
    <t>5 flushes per day per person (TP58)</t>
  </si>
  <si>
    <t>flush</t>
  </si>
  <si>
    <t>L/load</t>
  </si>
  <si>
    <t>Smeg DWAFI315T</t>
  </si>
  <si>
    <t>TOTAL</t>
  </si>
  <si>
    <t>Greywater Uses</t>
  </si>
  <si>
    <t>Laundry Tub</t>
  </si>
  <si>
    <t>5min per day per person</t>
  </si>
  <si>
    <t>m2 required</t>
  </si>
  <si>
    <t>per person per day</t>
  </si>
  <si>
    <t>Black water to dispose</t>
  </si>
  <si>
    <t>Extra greywater to dispose</t>
  </si>
  <si>
    <t>Pool Backwash</t>
  </si>
  <si>
    <t>Lot 1 storage required</t>
  </si>
  <si>
    <t>L</t>
  </si>
  <si>
    <t>Lot 2 storage required</t>
  </si>
  <si>
    <t>Lot 3 storage required</t>
  </si>
  <si>
    <t>of stormwater detention</t>
  </si>
  <si>
    <t>Lot 1</t>
  </si>
  <si>
    <t>Lot 2</t>
  </si>
  <si>
    <t>Roofs</t>
  </si>
  <si>
    <t>Grass</t>
  </si>
  <si>
    <t>Driveway/Paths</t>
  </si>
  <si>
    <t>Lot 3</t>
  </si>
  <si>
    <t>Coeff</t>
  </si>
  <si>
    <t>.</t>
  </si>
  <si>
    <t>Average Discharge equal to 65% of Peak flows</t>
  </si>
  <si>
    <t>10% AEP 10 minute storm (HIRDS) (mm)</t>
  </si>
  <si>
    <t>POST DEVELOPMENT</t>
  </si>
  <si>
    <t>Total Area</t>
  </si>
  <si>
    <t>PRE DEVELOPMENT</t>
  </si>
  <si>
    <t>L tank provided</t>
  </si>
  <si>
    <t>Address</t>
  </si>
  <si>
    <t>119 &amp; 117a First View Ave, Beachlands, Auckland, 2018</t>
  </si>
  <si>
    <t>Client</t>
  </si>
  <si>
    <t>Pugsy Trust and JW Payne Trust</t>
  </si>
  <si>
    <t>Date</t>
  </si>
  <si>
    <t>Area 
(m2)</t>
  </si>
  <si>
    <t>Q peak 
(l/s)</t>
  </si>
  <si>
    <t>Q ave*
 (l/s)</t>
  </si>
  <si>
    <t>(TP58)</t>
  </si>
  <si>
    <t>m2 provided</t>
  </si>
  <si>
    <t>Fisher and Paykel WH8560F1. 1 load per day</t>
  </si>
  <si>
    <t>Total Black and Grey Water production</t>
  </si>
  <si>
    <t>pervious concrete</t>
  </si>
  <si>
    <t>NicoBells Water Balance Calulations</t>
  </si>
  <si>
    <t>compliant</t>
  </si>
  <si>
    <t>Greywater Reuse</t>
  </si>
  <si>
    <t>Table 6.2 from TP58 C. F. Households with Full Water Reduction Fixtures Without Permanent Electricity Supply</t>
  </si>
  <si>
    <t>Qe</t>
  </si>
  <si>
    <t>L/day</t>
  </si>
  <si>
    <t>P</t>
  </si>
  <si>
    <t>mm/day</t>
  </si>
  <si>
    <t>ETS bed of 35m2</t>
  </si>
  <si>
    <t>Input</t>
  </si>
  <si>
    <t>Cr</t>
  </si>
  <si>
    <t xml:space="preserve">E  </t>
  </si>
  <si>
    <t>Cf</t>
  </si>
  <si>
    <t>D</t>
  </si>
  <si>
    <t>S</t>
  </si>
  <si>
    <t>soil absorption</t>
  </si>
  <si>
    <t>Crop Factor</t>
  </si>
  <si>
    <t>Niwa: THE CLIMATE AND WEATHER OF AUCKLAND - 2nd edition page 35</t>
  </si>
  <si>
    <t>mm/month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</si>
  <si>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</si>
  <si>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</si>
  <si>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</si>
  <si>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</si>
  <si>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</si>
  <si>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</si>
  <si>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</si>
  <si>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</si>
  <si>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</si>
  <si>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</si>
  <si>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</si>
  <si>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</si>
  <si>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</t>
  </si>
  <si>
    <t>E</t>
  </si>
  <si>
    <t>L/month</t>
  </si>
  <si>
    <t>ETS bed size</t>
  </si>
  <si>
    <t>cm/hr soil water absorption for heavy clay</t>
  </si>
  <si>
    <t>mm/day reference from Rowe (Zero Discharge of Great Barrier Campground Greywaters Clive Rowe)</t>
  </si>
  <si>
    <t>Soil type 5</t>
  </si>
  <si>
    <t>*Manual for On-Site Wastewater Design and Management : Technical Report to Support Policy Development : Horizons Regional Council</t>
  </si>
  <si>
    <t>L/day/m2</t>
  </si>
  <si>
    <t>*</t>
  </si>
  <si>
    <t xml:space="preserve">STORMWATER CALCULATIONS: Showing required stormwater tank detention size. </t>
  </si>
  <si>
    <t xml:space="preserve">ETS Bed can take 10L/m2  from Table 6.10* </t>
  </si>
  <si>
    <t>L/bath</t>
  </si>
  <si>
    <t>1 bath per day</t>
  </si>
  <si>
    <t>4.5/3</t>
  </si>
  <si>
    <t xml:space="preserve">ETS Bed can take 8L/m2  from Table 6.10* </t>
  </si>
  <si>
    <t>Mean monthly rainfall (mm)</t>
  </si>
  <si>
    <t>Data are mean monthly values for the 1981-2010 period for locations having at least 5 complete years of data</t>
  </si>
  <si>
    <t>Station details are available in separate table</t>
  </si>
  <si>
    <t>LOCATION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</si>
  <si>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</si>
  <si>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</si>
  <si>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</si>
  <si>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</si>
  <si>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</si>
  <si>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</si>
  <si>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</si>
  <si>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</si>
  <si>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</si>
  <si>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</si>
  <si>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</si>
  <si>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</si>
  <si>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YEAR</t>
  </si>
  <si>
    <t>------------------------------</t>
  </si>
  <si>
    <t>-----</t>
  </si>
  <si>
    <t>------</t>
  </si>
  <si>
    <t>Kaitaia</t>
  </si>
  <si>
    <t>Whangarei</t>
  </si>
  <si>
    <t>Auckland</t>
  </si>
  <si>
    <t>Tauranga</t>
  </si>
  <si>
    <t>Hamilton</t>
  </si>
  <si>
    <t>Rotorua</t>
  </si>
  <si>
    <t>Gisborne</t>
  </si>
  <si>
    <t>Taupo</t>
  </si>
  <si>
    <t>New Plymouth</t>
  </si>
  <si>
    <t>Napier</t>
  </si>
  <si>
    <t>Wanganui</t>
  </si>
  <si>
    <t>Palmerston North</t>
  </si>
  <si>
    <t>Masterton</t>
  </si>
  <si>
    <t>Wellington</t>
  </si>
  <si>
    <t>Nelson</t>
  </si>
  <si>
    <t>Blenheim</t>
  </si>
  <si>
    <t>Westport</t>
  </si>
  <si>
    <t>Kaikoura</t>
  </si>
  <si>
    <t>Hokitika</t>
  </si>
  <si>
    <t>Christchurch</t>
  </si>
  <si>
    <t>Mt Cook</t>
  </si>
  <si>
    <t>Lake Tekapo</t>
  </si>
  <si>
    <t>Timaru</t>
  </si>
  <si>
    <t>Milford Sound</t>
  </si>
  <si>
    <t>Queenstown</t>
  </si>
  <si>
    <t>Alexandra</t>
  </si>
  <si>
    <t>Manapouri</t>
  </si>
  <si>
    <t>Dunedin</t>
  </si>
  <si>
    <t>Invercargill</t>
  </si>
  <si>
    <t>Chatham Islands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</si>
</sst>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333333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2" borderId="0" xfId="0" applyFont="1" applyFill="1"/>
    <xf numFmtId="0" fontId="0" fillId="2" borderId="0" xfId="0" applyFill="1"/>
    <xf numFmtId="15" fontId="0" fillId="2" borderId="0" xfId="0" applyNumberFormat="1" applyFill="1"/>
    <xf numFmtId="0" fontId="1" fillId="2" borderId="0" xfId="0" applyFont="1" applyFill="1" applyAlignment="1">
      <alignment horizontal="center"/>
    </xf>
    <xf numFmtId="0" fontId="2" fillId="2" borderId="0" xfId="0" applyFont="1" applyFill="1"/>
    <xf numFmtId="1" fontId="0" fillId="2" borderId="0" xfId="0" applyNumberFormat="1" applyFill="1"/>
    <xf numFmtId="1" fontId="1" fillId="2" borderId="0" xfId="0" applyNumberFormat="1" applyFont="1" applyFill="1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0" fontId="0" fillId="2" borderId="1" xfId="0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0" fontId="0" fillId="2" borderId="1" xfId="0" applyFill="1" applyBorder="1"/>
    <xf numFmtId="0" fontId="1" fillId="2" borderId="1" xfId="0" applyFont="1" applyFill="1" applyBorder="1" applyAlignment="1">
      <alignment horizontal="center" wrapText="1"/>
    </xf>
    <xf numFmtId="0" fontId="0" fillId="2" borderId="0" xfId="0" applyFont="1" applyFill="1"/>
    <xf numFmtId="15" fontId="0" fillId="2" borderId="0" xfId="0" applyNumberFormat="1" applyFont="1" applyFill="1"/>
    <xf numFmtId="0" fontId="0" fillId="2" borderId="0" xfId="0" applyFont="1" applyFill="1" applyAlignment="1">
      <alignment horizontal="center"/>
    </xf>
    <xf numFmtId="0" fontId="1" fillId="2" borderId="2" xfId="0" applyFont="1" applyFill="1" applyBorder="1"/>
    <xf numFmtId="0" fontId="0" fillId="2" borderId="3" xfId="0" applyFont="1" applyFill="1" applyBorder="1" applyAlignment="1">
      <alignment horizontal="center"/>
    </xf>
    <xf numFmtId="0" fontId="0" fillId="2" borderId="3" xfId="0" applyFont="1" applyFill="1" applyBorder="1"/>
    <xf numFmtId="0" fontId="0" fillId="2" borderId="4" xfId="0" applyFont="1" applyFill="1" applyBorder="1"/>
    <xf numFmtId="0" fontId="0" fillId="2" borderId="5" xfId="0" applyFont="1" applyFill="1" applyBorder="1"/>
    <xf numFmtId="0" fontId="0" fillId="2" borderId="0" xfId="0" applyFont="1" applyFill="1" applyBorder="1"/>
    <xf numFmtId="0" fontId="0" fillId="2" borderId="0" xfId="0" applyFont="1" applyFill="1" applyBorder="1" applyAlignment="1">
      <alignment horizontal="right"/>
    </xf>
    <xf numFmtId="0" fontId="0" fillId="2" borderId="6" xfId="0" applyFont="1" applyFill="1" applyBorder="1"/>
    <xf numFmtId="0" fontId="0" fillId="2" borderId="0" xfId="0" applyFont="1" applyFill="1" applyBorder="1" applyAlignment="1">
      <alignment horizontal="center"/>
    </xf>
    <xf numFmtId="0" fontId="1" fillId="2" borderId="5" xfId="0" applyFont="1" applyFill="1" applyBorder="1"/>
    <xf numFmtId="0" fontId="1" fillId="2" borderId="0" xfId="0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 applyAlignment="1"/>
    <xf numFmtId="0" fontId="0" fillId="2" borderId="7" xfId="0" applyFont="1" applyFill="1" applyBorder="1"/>
    <xf numFmtId="0" fontId="0" fillId="2" borderId="8" xfId="0" applyFont="1" applyFill="1" applyBorder="1"/>
    <xf numFmtId="0" fontId="1" fillId="2" borderId="8" xfId="0" applyFont="1" applyFill="1" applyBorder="1" applyAlignment="1">
      <alignment horizontal="right"/>
    </xf>
    <xf numFmtId="0" fontId="1" fillId="2" borderId="8" xfId="0" applyFont="1" applyFill="1" applyBorder="1"/>
    <xf numFmtId="0" fontId="0" fillId="2" borderId="9" xfId="0" applyFont="1" applyFill="1" applyBorder="1"/>
    <xf numFmtId="0" fontId="3" fillId="2" borderId="0" xfId="0" applyFont="1" applyFill="1" applyBorder="1"/>
    <xf numFmtId="164" fontId="1" fillId="2" borderId="0" xfId="0" applyNumberFormat="1" applyFont="1" applyFill="1" applyBorder="1"/>
    <xf numFmtId="49" fontId="0" fillId="2" borderId="0" xfId="0" applyNumberFormat="1" applyFont="1" applyFill="1" applyBorder="1" applyAlignment="1">
      <alignment horizontal="center"/>
    </xf>
    <xf numFmtId="164" fontId="0" fillId="2" borderId="0" xfId="0" applyNumberFormat="1" applyFont="1" applyFill="1" applyBorder="1"/>
    <xf numFmtId="0" fontId="0" fillId="2" borderId="8" xfId="0" applyFont="1" applyFill="1" applyBorder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1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1" fillId="2" borderId="0" xfId="0" applyFont="1" applyFill="1" applyBorder="1" applyAlignment="1"/>
    <xf numFmtId="0" fontId="5" fillId="2" borderId="8" xfId="0" applyFont="1" applyFill="1" applyBorder="1"/>
    <xf numFmtId="0" fontId="6" fillId="2" borderId="0" xfId="0" applyFont="1" applyFill="1"/>
    <xf numFmtId="0" fontId="1" fillId="0" borderId="0" xfId="0" applyFont="1" applyFill="1" applyBorder="1"/>
    <xf numFmtId="0" fontId="1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g"/><Relationship Id="rId1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g"/><Relationship Id="rId1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2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587507</xdr:colOff>
      <xdr:row>1</xdr:row>
      <xdr:rowOff>26415</xdr:rowOff>
    </xdr:from>
    <xdr:to>
      <xdr:col>17</xdr:col>
      <xdr:colOff>239084</xdr:colOff>
      <xdr:row>7</xdr:row>
      <xdr:rowOff>77373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4971" y="216915"/>
          <a:ext cx="1488542" cy="1193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108858</xdr:rowOff>
    </xdr:from>
    <xdr:to>
      <xdr:col>6</xdr:col>
      <xdr:colOff>450487</xdr:colOff>
      <xdr:row>66</xdr:row>
      <xdr:rowOff>18688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2"/>
        <a:srcRect l="27485" t="23326" r="29863" b="24852"/>
        <a:stretch/>
      </xdr:blipFill>
      <xdr:spPr>
        <a:xfrm>
          <a:off x="0" y="7538358"/>
          <a:ext cx="5199380" cy="50533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437632</xdr:colOff>
      <xdr:row>28</xdr:row>
      <xdr:rowOff>58286</xdr:rowOff>
    </xdr:from>
    <xdr:to>
      <xdr:col>20</xdr:col>
      <xdr:colOff>576224</xdr:colOff>
      <xdr:row>47</xdr:row>
      <xdr:rowOff>129724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190" t="41607" r="21943" b="20546"/>
        <a:stretch/>
      </xdr:blipFill>
      <xdr:spPr>
        <a:xfrm>
          <a:off x="6810723" y="6327468"/>
          <a:ext cx="6892683" cy="3690938"/>
        </a:xfrm>
        <a:prstGeom prst="rect">
          <a:avLst/>
        </a:prstGeom>
      </xdr:spPr>
    </xdr:pic>
    <xdr:clientData/>
  </xdr:twoCellAnchor>
  <xdr:twoCellAnchor editAs="oneCell">
    <xdr:from>
      <xdr:col>17</xdr:col>
      <xdr:colOff>11206</xdr:colOff>
      <xdr:row>0</xdr:row>
      <xdr:rowOff>50987</xdr:rowOff>
    </xdr:from>
    <xdr:to>
      <xdr:col>19</xdr:col>
      <xdr:colOff>331134</xdr:colOff>
      <xdr:row>6</xdr:row>
      <xdr:rowOff>84627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2971" y="50987"/>
          <a:ext cx="1474134" cy="1193958"/>
        </a:xfrm>
        <a:prstGeom prst="rect">
          <a:avLst/>
        </a:prstGeom>
      </xdr:spPr>
    </xdr:pic>
    <xdr:clientData/>
  </xdr:twoCellAnchor>
  <xdr:twoCellAnchor editAs="oneCell">
    <xdr:from>
      <xdr:col>8</xdr:col>
      <xdr:colOff>59377</xdr:colOff>
      <xdr:row>48</xdr:row>
      <xdr:rowOff>42059</xdr:rowOff>
    </xdr:from>
    <xdr:to>
      <xdr:col>20</xdr:col>
      <xdr:colOff>338942</xdr:colOff>
      <xdr:row>58</xdr:row>
      <xdr:rowOff>178130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8910" t="18557" r="12936" b="60514"/>
        <a:stretch/>
      </xdr:blipFill>
      <xdr:spPr>
        <a:xfrm>
          <a:off x="6432468" y="10121241"/>
          <a:ext cx="7033656" cy="2041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42059</xdr:rowOff>
    </xdr:from>
    <xdr:to>
      <xdr:col>8</xdr:col>
      <xdr:colOff>340179</xdr:colOff>
      <xdr:row>52</xdr:row>
      <xdr:rowOff>1237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1812" t="32091" r="13047" b="21447"/>
        <a:stretch/>
      </xdr:blipFill>
      <xdr:spPr>
        <a:xfrm>
          <a:off x="0" y="6311241"/>
          <a:ext cx="6713270" cy="45311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29418</xdr:colOff>
      <xdr:row>23</xdr:row>
      <xdr:rowOff>22413</xdr:rowOff>
    </xdr:from>
    <xdr:to>
      <xdr:col>19</xdr:col>
      <xdr:colOff>222438</xdr:colOff>
      <xdr:row>42</xdr:row>
      <xdr:rowOff>93851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190" t="41607" r="21943" b="20546"/>
        <a:stretch/>
      </xdr:blipFill>
      <xdr:spPr>
        <a:xfrm>
          <a:off x="5839668" y="5346888"/>
          <a:ext cx="6879570" cy="3690938"/>
        </a:xfrm>
        <a:prstGeom prst="rect">
          <a:avLst/>
        </a:prstGeom>
      </xdr:spPr>
    </xdr:pic>
    <xdr:clientData/>
  </xdr:twoCellAnchor>
  <xdr:twoCellAnchor editAs="oneCell">
    <xdr:from>
      <xdr:col>17</xdr:col>
      <xdr:colOff>11206</xdr:colOff>
      <xdr:row>0</xdr:row>
      <xdr:rowOff>50987</xdr:rowOff>
    </xdr:from>
    <xdr:to>
      <xdr:col>19</xdr:col>
      <xdr:colOff>331134</xdr:colOff>
      <xdr:row>6</xdr:row>
      <xdr:rowOff>101945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45956" y="50987"/>
          <a:ext cx="1481978" cy="1193958"/>
        </a:xfrm>
        <a:prstGeom prst="rect">
          <a:avLst/>
        </a:prstGeom>
      </xdr:spPr>
    </xdr:pic>
    <xdr:clientData/>
  </xdr:twoCellAnchor>
  <xdr:twoCellAnchor editAs="oneCell">
    <xdr:from>
      <xdr:col>9</xdr:col>
      <xdr:colOff>517071</xdr:colOff>
      <xdr:row>43</xdr:row>
      <xdr:rowOff>95250</xdr:rowOff>
    </xdr:from>
    <xdr:to>
      <xdr:col>22</xdr:col>
      <xdr:colOff>136072</xdr:colOff>
      <xdr:row>54</xdr:row>
      <xdr:rowOff>40821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8910" t="18557" r="12936" b="60514"/>
        <a:stretch/>
      </xdr:blipFill>
      <xdr:spPr>
        <a:xfrm>
          <a:off x="7432221" y="9229725"/>
          <a:ext cx="7029451" cy="204107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40</xdr:row>
      <xdr:rowOff>95250</xdr:rowOff>
    </xdr:from>
    <xdr:to>
      <xdr:col>9</xdr:col>
      <xdr:colOff>163286</xdr:colOff>
      <xdr:row>64</xdr:row>
      <xdr:rowOff>54428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1812" t="32091" r="13047" b="21447"/>
        <a:stretch/>
      </xdr:blipFill>
      <xdr:spPr>
        <a:xfrm>
          <a:off x="381000" y="8658225"/>
          <a:ext cx="6697436" cy="45311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7</xdr:col>
      <xdr:colOff>523876</xdr:colOff>
      <xdr:row>23</xdr:row>
      <xdr:rowOff>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18" t="24319" r="37492" b="30753"/>
        <a:stretch/>
      </xdr:blipFill>
      <xdr:spPr>
        <a:xfrm>
          <a:off x="38100" y="0"/>
          <a:ext cx="4752976" cy="438150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0</xdr:row>
      <xdr:rowOff>0</xdr:rowOff>
    </xdr:from>
    <xdr:to>
      <xdr:col>16</xdr:col>
      <xdr:colOff>285750</xdr:colOff>
      <xdr:row>7</xdr:row>
      <xdr:rowOff>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441" t="39165" r="41008" b="47161"/>
        <a:stretch/>
      </xdr:blipFill>
      <xdr:spPr>
        <a:xfrm>
          <a:off x="4991100" y="0"/>
          <a:ext cx="4943475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9</xdr:col>
      <xdr:colOff>561975</xdr:colOff>
      <xdr:row>46</xdr:row>
      <xdr:rowOff>171450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5160" t="62019" r="25225" b="12782"/>
        <a:stretch/>
      </xdr:blipFill>
      <xdr:spPr>
        <a:xfrm>
          <a:off x="0" y="6477000"/>
          <a:ext cx="6048375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22</xdr:row>
      <xdr:rowOff>38100</xdr:rowOff>
    </xdr:from>
    <xdr:to>
      <xdr:col>8</xdr:col>
      <xdr:colOff>266701</xdr:colOff>
      <xdr:row>33</xdr:row>
      <xdr:rowOff>95250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5081" t="28031" r="24678" b="49896"/>
        <a:stretch/>
      </xdr:blipFill>
      <xdr:spPr>
        <a:xfrm>
          <a:off x="1" y="4229100"/>
          <a:ext cx="5143500" cy="2152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53228</xdr:rowOff>
    </xdr:from>
    <xdr:to>
      <xdr:col>9</xdr:col>
      <xdr:colOff>537883</xdr:colOff>
      <xdr:row>71</xdr:row>
      <xdr:rowOff>15128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417" t="30570" r="26194" b="30754"/>
        <a:stretch/>
      </xdr:blipFill>
      <xdr:spPr>
        <a:xfrm>
          <a:off x="0" y="9768728"/>
          <a:ext cx="5983942" cy="3771900"/>
        </a:xfrm>
        <a:prstGeom prst="rect">
          <a:avLst/>
        </a:prstGeom>
      </xdr:spPr>
    </xdr:pic>
    <xdr:clientData/>
  </xdr:twoCellAnchor>
  <xdr:twoCellAnchor editAs="oneCell">
    <xdr:from>
      <xdr:col>10</xdr:col>
      <xdr:colOff>437029</xdr:colOff>
      <xdr:row>37</xdr:row>
      <xdr:rowOff>156883</xdr:rowOff>
    </xdr:from>
    <xdr:to>
      <xdr:col>19</xdr:col>
      <xdr:colOff>369794</xdr:colOff>
      <xdr:row>64</xdr:row>
      <xdr:rowOff>67235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7485" t="23326" r="29863" b="24852"/>
        <a:stretch/>
      </xdr:blipFill>
      <xdr:spPr>
        <a:xfrm>
          <a:off x="6577853" y="7205383"/>
          <a:ext cx="5199529" cy="5053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tabSelected="1" workbookViewId="0">
      <selection activeCell="N9" sqref="N9"/>
    </sheetView>
  </sheetViews>
  <sheetFormatPr defaultRowHeight="15" x14ac:dyDescent="0.25"/>
  <sheetData>
    <row r="1" spans="1:14" x14ac:dyDescent="0.25">
      <c r="A1" t="s">
        <v>114</v>
      </c>
    </row>
    <row r="2" spans="1:14" x14ac:dyDescent="0.25">
      <c r="A2" t="s">
        <v>115</v>
      </c>
    </row>
    <row r="3" spans="1:14" x14ac:dyDescent="0.25">
      <c r="A3" t="s">
        <v>116</v>
      </c>
    </row>
    <row r="5" spans="1:14" x14ac:dyDescent="0.25">
      <c r="A5" t="s">
        <v>117</v>
      </c>
      <c r="B5" t="s">
        <v>118</v>
      </c>
      <c r="C5" t="s">
        <v>119</v>
      </c>
      <c r="D5" t="s">
        <v>120</v>
      </c>
      <c r="E5" t="s">
        <v>121</v>
      </c>
      <c r="F5" t="s">
        <v>122</v>
      </c>
      <c r="G5" t="s">
        <v>123</v>
      </c>
      <c r="H5" t="s">
        <v>124</v>
      </c>
      <c r="I5" t="s">
        <v>125</v>
      </c>
      <c r="J5" t="s">
        <v>126</v>
      </c>
      <c r="K5" t="s">
        <v>127</v>
      </c>
      <c r="L5" t="s">
        <v>128</v>
      </c>
      <c r="M5" t="s">
        <v>129</v>
      </c>
      <c r="N5" t="s">
        <v>130</v>
      </c>
    </row>
    <row r="6" spans="1:14" x14ac:dyDescent="0.25">
      <c r="A6" t="s">
        <v>131</v>
      </c>
      <c r="B6" t="s">
        <v>132</v>
      </c>
      <c r="C6" t="s">
        <v>132</v>
      </c>
      <c r="D6" t="s">
        <v>132</v>
      </c>
      <c r="E6" t="s">
        <v>132</v>
      </c>
      <c r="F6" t="s">
        <v>132</v>
      </c>
      <c r="G6" t="s">
        <v>132</v>
      </c>
      <c r="H6" t="s">
        <v>132</v>
      </c>
      <c r="I6" t="s">
        <v>132</v>
      </c>
      <c r="J6" t="s">
        <v>132</v>
      </c>
      <c r="K6" t="s">
        <v>132</v>
      </c>
      <c r="L6" t="s">
        <v>132</v>
      </c>
      <c r="M6" t="s">
        <v>132</v>
      </c>
      <c r="N6" t="s">
        <v>133</v>
      </c>
    </row>
    <row r="7" spans="1:14" x14ac:dyDescent="0.25">
      <c r="A7" t="s">
        <v>134</v>
      </c>
      <c r="B7">
        <v>82</v>
      </c>
      <c r="C7">
        <v>92.5</v>
      </c>
      <c r="D7">
        <v>82</v>
      </c>
      <c r="E7">
        <v>97.7</v>
      </c>
      <c r="F7">
        <v>131.9</v>
      </c>
      <c r="G7">
        <v>149.1</v>
      </c>
      <c r="H7">
        <v>165.4</v>
      </c>
      <c r="I7">
        <v>140</v>
      </c>
      <c r="J7">
        <v>126.7</v>
      </c>
      <c r="K7">
        <v>97.8</v>
      </c>
      <c r="L7">
        <v>86.2</v>
      </c>
      <c r="M7">
        <v>99.6</v>
      </c>
      <c r="N7">
        <v>1349.2</v>
      </c>
    </row>
    <row r="8" spans="1:14" x14ac:dyDescent="0.25">
      <c r="A8" t="s">
        <v>135</v>
      </c>
      <c r="B8">
        <v>81.2</v>
      </c>
      <c r="C8">
        <v>95.2</v>
      </c>
      <c r="D8">
        <v>118.1</v>
      </c>
      <c r="E8">
        <v>98.9</v>
      </c>
      <c r="F8">
        <v>111.2</v>
      </c>
      <c r="G8">
        <v>131.5</v>
      </c>
      <c r="H8">
        <v>168.6</v>
      </c>
      <c r="I8">
        <v>128.4</v>
      </c>
      <c r="J8">
        <v>112.2</v>
      </c>
      <c r="K8">
        <v>85.3</v>
      </c>
      <c r="L8">
        <v>77.099999999999994</v>
      </c>
      <c r="M8">
        <v>96.4</v>
      </c>
      <c r="N8">
        <v>1317.7</v>
      </c>
    </row>
    <row r="9" spans="1:14" x14ac:dyDescent="0.25">
      <c r="A9" t="s">
        <v>136</v>
      </c>
      <c r="B9">
        <v>73.3</v>
      </c>
      <c r="C9">
        <v>66.099999999999994</v>
      </c>
      <c r="D9">
        <v>87.3</v>
      </c>
      <c r="E9">
        <v>99.4</v>
      </c>
      <c r="F9">
        <v>112.6</v>
      </c>
      <c r="G9">
        <v>126.4</v>
      </c>
      <c r="H9">
        <v>145.1</v>
      </c>
      <c r="I9">
        <v>118.4</v>
      </c>
      <c r="J9">
        <v>105.1</v>
      </c>
      <c r="K9">
        <v>100.2</v>
      </c>
      <c r="L9">
        <v>85.8</v>
      </c>
      <c r="M9">
        <v>92.8</v>
      </c>
      <c r="N9">
        <v>1210.7</v>
      </c>
    </row>
    <row r="10" spans="1:14" x14ac:dyDescent="0.25">
      <c r="A10" t="s">
        <v>137</v>
      </c>
      <c r="B10">
        <v>76</v>
      </c>
      <c r="C10">
        <v>86.6</v>
      </c>
      <c r="D10">
        <v>92.7</v>
      </c>
      <c r="E10">
        <v>120.9</v>
      </c>
      <c r="F10">
        <v>105.7</v>
      </c>
      <c r="G10">
        <v>115.7</v>
      </c>
      <c r="H10">
        <v>127.4</v>
      </c>
      <c r="I10">
        <v>112.3</v>
      </c>
      <c r="J10">
        <v>87.6</v>
      </c>
      <c r="K10">
        <v>90.4</v>
      </c>
      <c r="L10">
        <v>75.3</v>
      </c>
      <c r="M10">
        <v>90.3</v>
      </c>
      <c r="N10">
        <v>1176.5</v>
      </c>
    </row>
    <row r="11" spans="1:14" x14ac:dyDescent="0.25">
      <c r="A11" t="s">
        <v>138</v>
      </c>
      <c r="B11">
        <v>76.3</v>
      </c>
      <c r="C11">
        <v>68.7</v>
      </c>
      <c r="D11">
        <v>79.400000000000006</v>
      </c>
      <c r="E11">
        <v>80.3</v>
      </c>
      <c r="F11">
        <v>99.7</v>
      </c>
      <c r="G11">
        <v>113.2</v>
      </c>
      <c r="H11">
        <v>118.2</v>
      </c>
      <c r="I11">
        <v>103.4</v>
      </c>
      <c r="J11">
        <v>91.5</v>
      </c>
      <c r="K11">
        <v>91.9</v>
      </c>
      <c r="L11">
        <v>85</v>
      </c>
      <c r="M11">
        <v>100.7</v>
      </c>
      <c r="N11">
        <v>1108.4000000000001</v>
      </c>
    </row>
    <row r="12" spans="1:14" x14ac:dyDescent="0.25">
      <c r="A12" t="s">
        <v>139</v>
      </c>
      <c r="B12">
        <v>92.7</v>
      </c>
      <c r="C12">
        <v>93.9</v>
      </c>
      <c r="D12">
        <v>99.2</v>
      </c>
      <c r="E12">
        <v>107.2</v>
      </c>
      <c r="F12">
        <v>116.9</v>
      </c>
      <c r="G12">
        <v>136.1</v>
      </c>
      <c r="H12">
        <v>134.5</v>
      </c>
      <c r="I12">
        <v>131.4</v>
      </c>
      <c r="J12">
        <v>109.3</v>
      </c>
      <c r="K12">
        <v>112.3</v>
      </c>
      <c r="L12">
        <v>93.8</v>
      </c>
      <c r="M12">
        <v>114.2</v>
      </c>
      <c r="N12">
        <v>1358.9</v>
      </c>
    </row>
    <row r="13" spans="1:14" x14ac:dyDescent="0.25">
      <c r="A13" t="s">
        <v>140</v>
      </c>
      <c r="B13">
        <v>56.2</v>
      </c>
      <c r="C13">
        <v>71.3</v>
      </c>
      <c r="D13">
        <v>91.4</v>
      </c>
      <c r="E13">
        <v>98.2</v>
      </c>
      <c r="F13">
        <v>101.3</v>
      </c>
      <c r="G13">
        <v>104.6</v>
      </c>
      <c r="H13">
        <v>127.7</v>
      </c>
      <c r="I13">
        <v>76.2</v>
      </c>
      <c r="J13">
        <v>73.5</v>
      </c>
      <c r="K13">
        <v>72.5</v>
      </c>
      <c r="L13">
        <v>67.099999999999994</v>
      </c>
      <c r="M13">
        <v>56.2</v>
      </c>
      <c r="N13">
        <v>978.7</v>
      </c>
    </row>
    <row r="14" spans="1:14" x14ac:dyDescent="0.25">
      <c r="A14" t="s">
        <v>141</v>
      </c>
      <c r="B14">
        <v>77.3</v>
      </c>
      <c r="C14">
        <v>67.900000000000006</v>
      </c>
      <c r="D14">
        <v>66.5</v>
      </c>
      <c r="E14">
        <v>68.400000000000006</v>
      </c>
      <c r="F14">
        <v>74.900000000000006</v>
      </c>
      <c r="G14">
        <v>92.8</v>
      </c>
      <c r="H14">
        <v>96</v>
      </c>
      <c r="I14">
        <v>87.4</v>
      </c>
      <c r="J14">
        <v>81.599999999999994</v>
      </c>
      <c r="K14">
        <v>86.2</v>
      </c>
      <c r="L14">
        <v>67.900000000000006</v>
      </c>
      <c r="M14">
        <v>93.6</v>
      </c>
      <c r="N14">
        <v>954.5</v>
      </c>
    </row>
    <row r="15" spans="1:14" x14ac:dyDescent="0.25">
      <c r="A15" t="s">
        <v>142</v>
      </c>
      <c r="B15">
        <v>114.5</v>
      </c>
      <c r="C15">
        <v>85.4</v>
      </c>
      <c r="D15">
        <v>126.5</v>
      </c>
      <c r="E15">
        <v>125.4</v>
      </c>
      <c r="F15">
        <v>97.1</v>
      </c>
      <c r="G15">
        <v>152.6</v>
      </c>
      <c r="H15">
        <v>131.1</v>
      </c>
      <c r="I15">
        <v>117.2</v>
      </c>
      <c r="J15">
        <v>104.8</v>
      </c>
      <c r="K15">
        <v>117.8</v>
      </c>
      <c r="L15">
        <v>100.3</v>
      </c>
      <c r="M15">
        <v>113.1</v>
      </c>
      <c r="N15">
        <v>1398</v>
      </c>
    </row>
    <row r="16" spans="1:14" x14ac:dyDescent="0.25">
      <c r="A16" t="s">
        <v>143</v>
      </c>
      <c r="B16">
        <v>46.8</v>
      </c>
      <c r="C16">
        <v>54.3</v>
      </c>
      <c r="D16">
        <v>66.8</v>
      </c>
      <c r="E16">
        <v>67.900000000000006</v>
      </c>
      <c r="F16">
        <v>74.8</v>
      </c>
      <c r="G16">
        <v>82.1</v>
      </c>
      <c r="H16">
        <v>108.3</v>
      </c>
      <c r="I16">
        <v>60.1</v>
      </c>
      <c r="J16">
        <v>57.9</v>
      </c>
      <c r="K16">
        <v>59.9</v>
      </c>
      <c r="L16">
        <v>52.4</v>
      </c>
      <c r="M16">
        <v>53.5</v>
      </c>
      <c r="N16">
        <v>776</v>
      </c>
    </row>
    <row r="17" spans="1:14" x14ac:dyDescent="0.25">
      <c r="A17" t="s">
        <v>144</v>
      </c>
      <c r="B17">
        <v>59.2</v>
      </c>
      <c r="C17">
        <v>75.5</v>
      </c>
      <c r="D17">
        <v>62.9</v>
      </c>
      <c r="E17">
        <v>69.2</v>
      </c>
      <c r="F17">
        <v>79.5</v>
      </c>
      <c r="G17">
        <v>88.8</v>
      </c>
      <c r="H17">
        <v>85.3</v>
      </c>
      <c r="I17">
        <v>74.400000000000006</v>
      </c>
      <c r="J17">
        <v>73.7</v>
      </c>
      <c r="K17">
        <v>88</v>
      </c>
      <c r="L17">
        <v>75.400000000000006</v>
      </c>
      <c r="M17">
        <v>86.4</v>
      </c>
      <c r="N17">
        <v>916.7</v>
      </c>
    </row>
    <row r="18" spans="1:14" x14ac:dyDescent="0.25">
      <c r="A18" t="s">
        <v>145</v>
      </c>
      <c r="B18">
        <v>55</v>
      </c>
      <c r="C18">
        <v>67.8</v>
      </c>
      <c r="D18">
        <v>51.8</v>
      </c>
      <c r="E18">
        <v>65.900000000000006</v>
      </c>
      <c r="F18">
        <v>71.5</v>
      </c>
      <c r="G18">
        <v>95.1</v>
      </c>
      <c r="H18">
        <v>82.5</v>
      </c>
      <c r="I18">
        <v>76.900000000000006</v>
      </c>
      <c r="J18">
        <v>86.1</v>
      </c>
      <c r="K18">
        <v>96.4</v>
      </c>
      <c r="L18">
        <v>80.900000000000006</v>
      </c>
      <c r="M18">
        <v>87.5</v>
      </c>
      <c r="N18">
        <v>919.9</v>
      </c>
    </row>
    <row r="19" spans="1:14" x14ac:dyDescent="0.25">
      <c r="A19" t="s">
        <v>146</v>
      </c>
      <c r="B19">
        <v>44.4</v>
      </c>
      <c r="C19">
        <v>68.900000000000006</v>
      </c>
      <c r="D19">
        <v>84.5</v>
      </c>
      <c r="E19">
        <v>54</v>
      </c>
      <c r="F19">
        <v>93.6</v>
      </c>
      <c r="G19">
        <v>105.3</v>
      </c>
      <c r="H19">
        <v>90.9</v>
      </c>
      <c r="I19">
        <v>86.7</v>
      </c>
      <c r="J19">
        <v>73.7</v>
      </c>
      <c r="K19">
        <v>77.2</v>
      </c>
      <c r="L19">
        <v>77.5</v>
      </c>
      <c r="M19">
        <v>70.900000000000006</v>
      </c>
      <c r="N19">
        <v>922.9</v>
      </c>
    </row>
    <row r="20" spans="1:14" x14ac:dyDescent="0.25">
      <c r="A20" t="s">
        <v>147</v>
      </c>
      <c r="B20">
        <v>75.7</v>
      </c>
      <c r="C20">
        <v>69.8</v>
      </c>
      <c r="D20">
        <v>87.1</v>
      </c>
      <c r="E20">
        <v>83.6</v>
      </c>
      <c r="F20">
        <v>112.9</v>
      </c>
      <c r="G20">
        <v>132.80000000000001</v>
      </c>
      <c r="H20">
        <v>137.5</v>
      </c>
      <c r="I20">
        <v>113.7</v>
      </c>
      <c r="J20">
        <v>97.8</v>
      </c>
      <c r="K20">
        <v>114.9</v>
      </c>
      <c r="L20">
        <v>97</v>
      </c>
      <c r="M20">
        <v>84.4</v>
      </c>
      <c r="N20">
        <v>1215.4000000000001</v>
      </c>
    </row>
    <row r="21" spans="1:14" x14ac:dyDescent="0.25">
      <c r="A21" t="s">
        <v>148</v>
      </c>
      <c r="B21">
        <v>76.5</v>
      </c>
      <c r="C21">
        <v>63.5</v>
      </c>
      <c r="D21">
        <v>70.8</v>
      </c>
      <c r="E21">
        <v>80.900000000000006</v>
      </c>
      <c r="F21">
        <v>82</v>
      </c>
      <c r="G21">
        <v>92.7</v>
      </c>
      <c r="H21">
        <v>77.599999999999994</v>
      </c>
      <c r="I21">
        <v>81.900000000000006</v>
      </c>
      <c r="J21">
        <v>85.1</v>
      </c>
      <c r="K21">
        <v>87.2</v>
      </c>
      <c r="L21">
        <v>78.3</v>
      </c>
      <c r="M21">
        <v>83.6</v>
      </c>
      <c r="N21">
        <v>950.7</v>
      </c>
    </row>
    <row r="22" spans="1:14" x14ac:dyDescent="0.25">
      <c r="A22" t="s">
        <v>149</v>
      </c>
      <c r="B22">
        <v>48.9</v>
      </c>
      <c r="C22">
        <v>49.4</v>
      </c>
      <c r="D22">
        <v>46.5</v>
      </c>
      <c r="E22">
        <v>52.7</v>
      </c>
      <c r="F22">
        <v>60.6</v>
      </c>
      <c r="G22">
        <v>70.7</v>
      </c>
      <c r="H22">
        <v>74.3</v>
      </c>
      <c r="I22">
        <v>62.2</v>
      </c>
      <c r="J22">
        <v>65.2</v>
      </c>
      <c r="K22">
        <v>67.400000000000006</v>
      </c>
      <c r="L22">
        <v>55</v>
      </c>
      <c r="M22">
        <v>58.1</v>
      </c>
      <c r="N22">
        <v>720.1</v>
      </c>
    </row>
    <row r="23" spans="1:14" x14ac:dyDescent="0.25">
      <c r="A23" t="s">
        <v>150</v>
      </c>
      <c r="B23">
        <v>178.2</v>
      </c>
      <c r="C23">
        <v>128.9</v>
      </c>
      <c r="D23">
        <v>158.9</v>
      </c>
      <c r="E23">
        <v>156.69999999999999</v>
      </c>
      <c r="F23">
        <v>174.2</v>
      </c>
      <c r="G23">
        <v>212.5</v>
      </c>
      <c r="H23">
        <v>167.6</v>
      </c>
      <c r="I23">
        <v>185</v>
      </c>
      <c r="J23">
        <v>187.4</v>
      </c>
      <c r="K23">
        <v>200.3</v>
      </c>
      <c r="L23">
        <v>169</v>
      </c>
      <c r="M23">
        <v>203</v>
      </c>
      <c r="N23">
        <v>2154.4</v>
      </c>
    </row>
    <row r="24" spans="1:14" x14ac:dyDescent="0.25">
      <c r="A24" t="s">
        <v>151</v>
      </c>
      <c r="B24">
        <v>46</v>
      </c>
      <c r="C24">
        <v>46.8</v>
      </c>
      <c r="D24">
        <v>62.6</v>
      </c>
      <c r="E24">
        <v>51.8</v>
      </c>
      <c r="F24">
        <v>56.9</v>
      </c>
      <c r="G24">
        <v>75.900000000000006</v>
      </c>
      <c r="H24">
        <v>100.6</v>
      </c>
      <c r="I24">
        <v>56.5</v>
      </c>
      <c r="J24">
        <v>50.1</v>
      </c>
      <c r="K24">
        <v>62.7</v>
      </c>
      <c r="L24">
        <v>55.5</v>
      </c>
      <c r="M24">
        <v>44.6</v>
      </c>
      <c r="N24">
        <v>695.9</v>
      </c>
    </row>
    <row r="25" spans="1:14" x14ac:dyDescent="0.25">
      <c r="A25" t="s">
        <v>152</v>
      </c>
      <c r="B25">
        <v>248.3</v>
      </c>
      <c r="C25">
        <v>189</v>
      </c>
      <c r="D25">
        <v>215.8</v>
      </c>
      <c r="E25">
        <v>231.5</v>
      </c>
      <c r="F25">
        <v>236.8</v>
      </c>
      <c r="G25">
        <v>273.5</v>
      </c>
      <c r="H25">
        <v>218</v>
      </c>
      <c r="I25">
        <v>230.8</v>
      </c>
      <c r="J25">
        <v>260.10000000000002</v>
      </c>
      <c r="K25">
        <v>275.10000000000002</v>
      </c>
      <c r="L25">
        <v>225.3</v>
      </c>
      <c r="M25">
        <v>297</v>
      </c>
      <c r="N25">
        <v>2901.4</v>
      </c>
    </row>
    <row r="26" spans="1:14" x14ac:dyDescent="0.25">
      <c r="A26" t="s">
        <v>153</v>
      </c>
      <c r="B26">
        <v>38.299999999999997</v>
      </c>
      <c r="C26">
        <v>42.3</v>
      </c>
      <c r="D26">
        <v>44.8</v>
      </c>
      <c r="E26">
        <v>46.2</v>
      </c>
      <c r="F26">
        <v>63.7</v>
      </c>
      <c r="G26">
        <v>60.9</v>
      </c>
      <c r="H26">
        <v>68.400000000000006</v>
      </c>
      <c r="I26">
        <v>64.400000000000006</v>
      </c>
      <c r="J26">
        <v>41.1</v>
      </c>
      <c r="K26">
        <v>52.8</v>
      </c>
      <c r="L26">
        <v>45.8</v>
      </c>
      <c r="M26">
        <v>49.5</v>
      </c>
      <c r="N26">
        <v>618.20000000000005</v>
      </c>
    </row>
    <row r="27" spans="1:14" x14ac:dyDescent="0.25">
      <c r="A27" t="s">
        <v>154</v>
      </c>
      <c r="B27">
        <v>457.5</v>
      </c>
      <c r="C27">
        <v>278.39999999999998</v>
      </c>
      <c r="D27">
        <v>417.9</v>
      </c>
      <c r="E27">
        <v>363</v>
      </c>
      <c r="F27">
        <v>357.1</v>
      </c>
      <c r="G27">
        <v>314.5</v>
      </c>
      <c r="H27">
        <v>305.2</v>
      </c>
      <c r="I27">
        <v>313.39999999999998</v>
      </c>
      <c r="J27">
        <v>297.39999999999998</v>
      </c>
      <c r="K27">
        <v>478.9</v>
      </c>
      <c r="L27">
        <v>414.2</v>
      </c>
      <c r="M27">
        <v>487.2</v>
      </c>
      <c r="N27">
        <v>4491.2</v>
      </c>
    </row>
    <row r="28" spans="1:14" x14ac:dyDescent="0.25">
      <c r="A28" t="s">
        <v>155</v>
      </c>
      <c r="B28">
        <v>43.6</v>
      </c>
      <c r="C28">
        <v>35.9</v>
      </c>
      <c r="D28">
        <v>48.8</v>
      </c>
      <c r="E28">
        <v>45.2</v>
      </c>
      <c r="F28">
        <v>56.5</v>
      </c>
      <c r="G28">
        <v>60</v>
      </c>
      <c r="H28">
        <v>49.6</v>
      </c>
      <c r="I28">
        <v>58.4</v>
      </c>
      <c r="J28">
        <v>50.4</v>
      </c>
      <c r="K28">
        <v>49.5</v>
      </c>
      <c r="L28">
        <v>41.3</v>
      </c>
      <c r="M28">
        <v>52.2</v>
      </c>
      <c r="N28">
        <v>591.6</v>
      </c>
    </row>
    <row r="29" spans="1:14" x14ac:dyDescent="0.25">
      <c r="A29" t="s">
        <v>156</v>
      </c>
      <c r="B29">
        <v>46.5</v>
      </c>
      <c r="C29">
        <v>51.7</v>
      </c>
      <c r="D29">
        <v>47.6</v>
      </c>
      <c r="E29">
        <v>38.700000000000003</v>
      </c>
      <c r="F29">
        <v>46.6</v>
      </c>
      <c r="G29">
        <v>38.799999999999997</v>
      </c>
      <c r="H29">
        <v>46.2</v>
      </c>
      <c r="I29">
        <v>43.8</v>
      </c>
      <c r="J29">
        <v>36.5</v>
      </c>
      <c r="K29">
        <v>49.5</v>
      </c>
      <c r="L29">
        <v>49.6</v>
      </c>
      <c r="M29">
        <v>52.8</v>
      </c>
      <c r="N29">
        <v>546.79999999999995</v>
      </c>
    </row>
    <row r="30" spans="1:14" x14ac:dyDescent="0.25">
      <c r="A30" t="s">
        <v>157</v>
      </c>
      <c r="B30">
        <v>722</v>
      </c>
      <c r="C30">
        <v>454.7</v>
      </c>
      <c r="D30">
        <v>595.1</v>
      </c>
      <c r="E30">
        <v>533.20000000000005</v>
      </c>
      <c r="F30">
        <v>596.6</v>
      </c>
      <c r="G30">
        <v>487.1</v>
      </c>
      <c r="H30">
        <v>423.7</v>
      </c>
      <c r="I30">
        <v>463.5</v>
      </c>
      <c r="J30">
        <v>551.4</v>
      </c>
      <c r="K30">
        <v>640.29999999999995</v>
      </c>
      <c r="L30">
        <v>548</v>
      </c>
      <c r="M30">
        <v>700.1</v>
      </c>
      <c r="N30">
        <v>6715.4</v>
      </c>
    </row>
    <row r="31" spans="1:14" x14ac:dyDescent="0.25">
      <c r="A31" t="s">
        <v>158</v>
      </c>
      <c r="B31">
        <v>64.7</v>
      </c>
      <c r="C31">
        <v>50.3</v>
      </c>
      <c r="D31">
        <v>53.4</v>
      </c>
      <c r="E31">
        <v>56.2</v>
      </c>
      <c r="F31">
        <v>68.5</v>
      </c>
      <c r="G31">
        <v>71.5</v>
      </c>
      <c r="H31">
        <v>50.3</v>
      </c>
      <c r="I31">
        <v>66.2</v>
      </c>
      <c r="J31">
        <v>62.4</v>
      </c>
      <c r="K31">
        <v>66.400000000000006</v>
      </c>
      <c r="L31">
        <v>63.6</v>
      </c>
      <c r="M31">
        <v>75.3</v>
      </c>
      <c r="N31">
        <v>741.4</v>
      </c>
    </row>
    <row r="32" spans="1:14" x14ac:dyDescent="0.25">
      <c r="A32" t="s">
        <v>159</v>
      </c>
      <c r="B32">
        <v>50.1</v>
      </c>
      <c r="C32">
        <v>32.799999999999997</v>
      </c>
      <c r="D32">
        <v>29</v>
      </c>
      <c r="E32">
        <v>22</v>
      </c>
      <c r="F32">
        <v>27.4</v>
      </c>
      <c r="G32">
        <v>31.6</v>
      </c>
      <c r="H32">
        <v>24.2</v>
      </c>
      <c r="I32">
        <v>17.600000000000001</v>
      </c>
      <c r="J32">
        <v>20.9</v>
      </c>
      <c r="K32">
        <v>28.7</v>
      </c>
      <c r="L32">
        <v>30.6</v>
      </c>
      <c r="M32">
        <v>44.5</v>
      </c>
      <c r="N32">
        <v>335.3</v>
      </c>
    </row>
    <row r="33" spans="1:14" x14ac:dyDescent="0.25">
      <c r="A33" t="s">
        <v>160</v>
      </c>
      <c r="B33">
        <v>85.4</v>
      </c>
      <c r="C33">
        <v>84.3</v>
      </c>
      <c r="D33">
        <v>86.5</v>
      </c>
      <c r="E33">
        <v>90</v>
      </c>
      <c r="F33">
        <v>100.9</v>
      </c>
      <c r="G33">
        <v>101.8</v>
      </c>
      <c r="H33">
        <v>82</v>
      </c>
      <c r="I33">
        <v>93.9</v>
      </c>
      <c r="J33">
        <v>100</v>
      </c>
      <c r="K33">
        <v>107.7</v>
      </c>
      <c r="L33">
        <v>91.1</v>
      </c>
      <c r="M33">
        <v>105.1</v>
      </c>
      <c r="N33">
        <v>1092.2</v>
      </c>
    </row>
    <row r="34" spans="1:14" x14ac:dyDescent="0.25">
      <c r="A34" t="s">
        <v>161</v>
      </c>
      <c r="B34">
        <v>72.900000000000006</v>
      </c>
      <c r="C34">
        <v>67.8</v>
      </c>
      <c r="D34">
        <v>64</v>
      </c>
      <c r="E34">
        <v>50.9</v>
      </c>
      <c r="F34">
        <v>64.7</v>
      </c>
      <c r="G34">
        <v>57.9</v>
      </c>
      <c r="H34">
        <v>57.1</v>
      </c>
      <c r="I34">
        <v>55.7</v>
      </c>
      <c r="J34">
        <v>48.3</v>
      </c>
      <c r="K34">
        <v>61.7</v>
      </c>
      <c r="L34">
        <v>56.4</v>
      </c>
      <c r="M34">
        <v>80.2</v>
      </c>
      <c r="N34">
        <v>726.2</v>
      </c>
    </row>
    <row r="35" spans="1:14" x14ac:dyDescent="0.25">
      <c r="A35" t="s">
        <v>162</v>
      </c>
      <c r="B35">
        <v>115</v>
      </c>
      <c r="C35">
        <v>87.1</v>
      </c>
      <c r="D35">
        <v>97.4</v>
      </c>
      <c r="E35">
        <v>95.9</v>
      </c>
      <c r="F35">
        <v>114.4</v>
      </c>
      <c r="G35">
        <v>104</v>
      </c>
      <c r="H35">
        <v>85.2</v>
      </c>
      <c r="I35">
        <v>75.599999999999994</v>
      </c>
      <c r="J35">
        <v>84.2</v>
      </c>
      <c r="K35">
        <v>95</v>
      </c>
      <c r="L35">
        <v>90.4</v>
      </c>
      <c r="M35">
        <v>105</v>
      </c>
      <c r="N35">
        <v>1146.5999999999999</v>
      </c>
    </row>
    <row r="36" spans="1:14" x14ac:dyDescent="0.25">
      <c r="A36" t="s">
        <v>163</v>
      </c>
      <c r="B36">
        <v>54.9</v>
      </c>
      <c r="C36">
        <v>63.9</v>
      </c>
      <c r="D36">
        <v>84.7</v>
      </c>
      <c r="E36">
        <v>75.7</v>
      </c>
      <c r="F36">
        <v>87.9</v>
      </c>
      <c r="G36">
        <v>107.8</v>
      </c>
      <c r="H36">
        <v>84.7</v>
      </c>
      <c r="I36">
        <v>84.4</v>
      </c>
      <c r="J36">
        <v>71.099999999999994</v>
      </c>
      <c r="K36">
        <v>63.4</v>
      </c>
      <c r="L36">
        <v>66.7</v>
      </c>
      <c r="M36">
        <v>66.3</v>
      </c>
      <c r="N36">
        <v>898.9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0"/>
  <sheetViews>
    <sheetView zoomScale="70" zoomScaleNormal="70" workbookViewId="0">
      <selection activeCell="J43" sqref="J43"/>
    </sheetView>
  </sheetViews>
  <sheetFormatPr defaultColWidth="9.140625" defaultRowHeight="15" x14ac:dyDescent="0.25"/>
  <cols>
    <col min="1" max="1" width="21.5703125" style="16" bestFit="1" customWidth="1"/>
    <col min="2" max="2" width="10.140625" style="18" customWidth="1"/>
    <col min="3" max="4" width="9.140625" style="16"/>
    <col min="5" max="5" width="11.85546875" style="16" customWidth="1"/>
    <col min="6" max="16384" width="9.140625" style="16"/>
  </cols>
  <sheetData>
    <row r="1" spans="1:18" x14ac:dyDescent="0.25">
      <c r="A1" s="1" t="s">
        <v>54</v>
      </c>
      <c r="B1" s="16" t="s">
        <v>55</v>
      </c>
    </row>
    <row r="2" spans="1:18" x14ac:dyDescent="0.25">
      <c r="A2" s="1" t="s">
        <v>56</v>
      </c>
      <c r="B2" s="16" t="s">
        <v>57</v>
      </c>
    </row>
    <row r="3" spans="1:18" x14ac:dyDescent="0.25">
      <c r="A3" s="1" t="s">
        <v>58</v>
      </c>
      <c r="B3" s="17">
        <v>42642</v>
      </c>
    </row>
    <row r="4" spans="1:18" x14ac:dyDescent="0.25">
      <c r="A4" s="1"/>
      <c r="B4" s="17"/>
    </row>
    <row r="5" spans="1:18" x14ac:dyDescent="0.25">
      <c r="A5" s="1"/>
      <c r="B5" s="17"/>
    </row>
    <row r="6" spans="1:18" x14ac:dyDescent="0.25">
      <c r="A6" s="16" t="s">
        <v>7</v>
      </c>
      <c r="B6" s="18">
        <v>5</v>
      </c>
    </row>
    <row r="7" spans="1:18" x14ac:dyDescent="0.25">
      <c r="A7" s="16" t="s">
        <v>6</v>
      </c>
      <c r="B7" s="18">
        <v>8</v>
      </c>
      <c r="C7" s="5" t="s">
        <v>62</v>
      </c>
    </row>
    <row r="9" spans="1:18" x14ac:dyDescent="0.25">
      <c r="A9" s="19" t="s">
        <v>17</v>
      </c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2"/>
    </row>
    <row r="10" spans="1:18" x14ac:dyDescent="0.25">
      <c r="A10" s="23"/>
      <c r="B10" s="24"/>
      <c r="C10" s="24"/>
      <c r="D10" s="25">
        <v>100</v>
      </c>
      <c r="E10" s="24" t="s">
        <v>8</v>
      </c>
      <c r="F10" s="24"/>
      <c r="G10" s="24" t="s">
        <v>70</v>
      </c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6"/>
    </row>
    <row r="11" spans="1:18" x14ac:dyDescent="0.25">
      <c r="A11" s="23" t="s">
        <v>10</v>
      </c>
      <c r="B11" s="24"/>
      <c r="C11" s="24"/>
      <c r="D11" s="29">
        <f>D10*B7</f>
        <v>800</v>
      </c>
      <c r="E11" s="24" t="s">
        <v>9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6"/>
    </row>
    <row r="12" spans="1:18" x14ac:dyDescent="0.25">
      <c r="A12" s="23" t="s">
        <v>11</v>
      </c>
      <c r="B12" s="24"/>
      <c r="C12" s="24"/>
      <c r="D12" s="25">
        <f>0.66*D11</f>
        <v>528</v>
      </c>
      <c r="E12" s="24" t="s">
        <v>9</v>
      </c>
      <c r="F12" s="24"/>
      <c r="G12" s="24"/>
      <c r="H12" s="24"/>
      <c r="I12" s="24"/>
      <c r="J12" s="24"/>
      <c r="K12" s="24"/>
      <c r="L12" s="24"/>
      <c r="M12" s="50" t="s">
        <v>109</v>
      </c>
      <c r="N12" s="24"/>
      <c r="O12" s="24"/>
      <c r="P12" s="24"/>
      <c r="Q12" s="24"/>
      <c r="R12" s="26"/>
    </row>
    <row r="13" spans="1:18" x14ac:dyDescent="0.25">
      <c r="A13" s="23" t="s">
        <v>12</v>
      </c>
      <c r="B13" s="24"/>
      <c r="C13" s="24"/>
      <c r="D13" s="25">
        <f>0.33*D11</f>
        <v>264</v>
      </c>
      <c r="E13" s="24" t="s">
        <v>9</v>
      </c>
      <c r="F13" s="24"/>
      <c r="G13" s="24"/>
      <c r="H13" s="24"/>
      <c r="I13" s="24"/>
      <c r="J13" s="24"/>
      <c r="K13" s="24"/>
      <c r="L13" s="24"/>
      <c r="M13" s="40">
        <f>D16</f>
        <v>264</v>
      </c>
      <c r="N13" s="24" t="s">
        <v>9</v>
      </c>
      <c r="O13" s="24" t="s">
        <v>32</v>
      </c>
      <c r="P13" s="24"/>
      <c r="Q13" s="24"/>
      <c r="R13" s="26"/>
    </row>
    <row r="14" spans="1:18" x14ac:dyDescent="0.25">
      <c r="A14" s="23"/>
      <c r="B14" s="27"/>
      <c r="C14" s="24"/>
      <c r="D14" s="25"/>
      <c r="E14" s="24"/>
      <c r="F14" s="24"/>
      <c r="G14" s="24"/>
      <c r="H14" s="24"/>
      <c r="I14" s="24"/>
      <c r="J14" s="24"/>
      <c r="K14" s="24"/>
      <c r="L14" s="24"/>
      <c r="M14" s="24">
        <f>D12-D19</f>
        <v>264</v>
      </c>
      <c r="N14" s="24" t="s">
        <v>9</v>
      </c>
      <c r="O14" s="24" t="s">
        <v>33</v>
      </c>
      <c r="P14" s="24"/>
      <c r="Q14" s="24"/>
      <c r="R14" s="26"/>
    </row>
    <row r="15" spans="1:18" x14ac:dyDescent="0.25">
      <c r="A15" s="28" t="s">
        <v>69</v>
      </c>
      <c r="B15" s="24"/>
      <c r="C15" s="24"/>
      <c r="D15" s="25"/>
      <c r="E15" s="24"/>
      <c r="F15" s="24"/>
      <c r="G15" s="24"/>
      <c r="H15" s="24"/>
      <c r="I15" s="24"/>
      <c r="J15" s="24"/>
      <c r="K15" s="24"/>
      <c r="L15" s="24"/>
      <c r="M15" s="38">
        <f>M13+M14</f>
        <v>528</v>
      </c>
      <c r="N15" s="30" t="s">
        <v>9</v>
      </c>
      <c r="O15" s="24"/>
      <c r="P15" s="24"/>
      <c r="Q15" s="24"/>
      <c r="R15" s="26"/>
    </row>
    <row r="16" spans="1:18" x14ac:dyDescent="0.25">
      <c r="A16" s="24" t="s">
        <v>4</v>
      </c>
      <c r="B16" s="24"/>
      <c r="D16" s="24">
        <f>D13</f>
        <v>264</v>
      </c>
      <c r="E16" s="24" t="s">
        <v>9</v>
      </c>
      <c r="F16" s="24"/>
      <c r="G16" s="24"/>
      <c r="H16" s="24"/>
      <c r="I16" s="24"/>
      <c r="J16" s="24"/>
      <c r="K16" s="24"/>
      <c r="L16" s="24"/>
      <c r="M16" s="16">
        <v>8</v>
      </c>
      <c r="N16" s="16" t="s">
        <v>106</v>
      </c>
      <c r="O16" s="24" t="s">
        <v>107</v>
      </c>
      <c r="P16" s="24"/>
      <c r="Q16" s="24"/>
      <c r="R16" s="26"/>
    </row>
    <row r="17" spans="1:18" x14ac:dyDescent="0.25">
      <c r="A17" s="24" t="s">
        <v>3</v>
      </c>
      <c r="B17" s="24"/>
      <c r="D17" s="24"/>
      <c r="E17" s="24" t="s">
        <v>9</v>
      </c>
      <c r="F17" s="24"/>
      <c r="G17" s="31"/>
      <c r="H17" s="24"/>
      <c r="I17" s="24"/>
      <c r="J17" s="24"/>
      <c r="K17" s="24"/>
      <c r="L17" s="24"/>
      <c r="O17" s="24"/>
      <c r="P17" s="24"/>
      <c r="Q17" s="24"/>
      <c r="R17" s="26"/>
    </row>
    <row r="18" spans="1:18" x14ac:dyDescent="0.25">
      <c r="A18" s="24" t="s">
        <v>28</v>
      </c>
      <c r="B18" s="24"/>
      <c r="D18" s="24"/>
      <c r="E18" s="24" t="s">
        <v>9</v>
      </c>
      <c r="F18" s="24"/>
      <c r="G18" s="24"/>
      <c r="H18" s="24"/>
      <c r="I18" s="24"/>
      <c r="J18" s="24"/>
      <c r="K18" s="24"/>
      <c r="L18" s="24"/>
      <c r="M18" s="40">
        <f>M15/M16</f>
        <v>66</v>
      </c>
      <c r="N18" s="24" t="s">
        <v>30</v>
      </c>
      <c r="O18" s="24"/>
      <c r="P18" s="24"/>
      <c r="Q18" s="24"/>
      <c r="R18" s="26"/>
    </row>
    <row r="19" spans="1:18" x14ac:dyDescent="0.25">
      <c r="A19" s="30" t="s">
        <v>26</v>
      </c>
      <c r="B19" s="24"/>
      <c r="D19" s="30">
        <f>SUM(D16:D18)</f>
        <v>264</v>
      </c>
      <c r="E19" s="30" t="s">
        <v>9</v>
      </c>
      <c r="F19" s="24"/>
      <c r="G19" s="24"/>
      <c r="H19" s="24"/>
      <c r="I19" s="24"/>
      <c r="J19" s="24"/>
      <c r="K19" s="24"/>
      <c r="L19" s="24"/>
      <c r="M19" s="30">
        <v>52</v>
      </c>
      <c r="N19" s="30" t="s">
        <v>63</v>
      </c>
      <c r="O19" s="24"/>
      <c r="P19" s="24"/>
      <c r="Q19" s="24"/>
      <c r="R19" s="26"/>
    </row>
    <row r="20" spans="1:18" x14ac:dyDescent="0.25">
      <c r="A20" s="32"/>
      <c r="B20" s="33"/>
      <c r="C20" s="33"/>
      <c r="D20" s="34"/>
      <c r="E20" s="35"/>
      <c r="F20" s="33"/>
      <c r="G20" s="33"/>
      <c r="H20" s="33"/>
      <c r="I20" s="51" t="s">
        <v>105</v>
      </c>
      <c r="J20" s="33"/>
      <c r="K20" s="33"/>
      <c r="L20" s="33"/>
      <c r="M20" s="33"/>
      <c r="N20" s="33"/>
      <c r="O20" s="33"/>
      <c r="P20" s="33"/>
      <c r="Q20" s="33"/>
      <c r="R20" s="36"/>
    </row>
    <row r="21" spans="1:18" x14ac:dyDescent="0.25">
      <c r="D21" s="18"/>
    </row>
    <row r="23" spans="1:18" x14ac:dyDescent="0.25">
      <c r="A23" s="19" t="s">
        <v>67</v>
      </c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2"/>
    </row>
    <row r="24" spans="1:18" x14ac:dyDescent="0.25">
      <c r="A24" s="28" t="s">
        <v>14</v>
      </c>
      <c r="B24" s="27"/>
      <c r="C24" s="24"/>
      <c r="D24" s="24"/>
      <c r="E24" s="24"/>
      <c r="F24" s="24"/>
      <c r="G24" s="24"/>
      <c r="H24" s="24"/>
      <c r="I24" s="24"/>
      <c r="J24" s="24"/>
      <c r="M24" s="30" t="s">
        <v>27</v>
      </c>
      <c r="N24" s="24"/>
      <c r="O24" s="24"/>
      <c r="P24" s="24"/>
      <c r="Q24" s="24"/>
      <c r="R24" s="26"/>
    </row>
    <row r="25" spans="1:18" x14ac:dyDescent="0.25">
      <c r="A25" s="23" t="s">
        <v>1</v>
      </c>
      <c r="B25" s="27">
        <v>7.5</v>
      </c>
      <c r="C25" s="24" t="s">
        <v>21</v>
      </c>
      <c r="D25" s="24">
        <f>B25*5*B7</f>
        <v>300</v>
      </c>
      <c r="E25" s="24" t="s">
        <v>9</v>
      </c>
      <c r="F25" s="24" t="s">
        <v>20</v>
      </c>
      <c r="G25" s="24"/>
      <c r="H25" s="24"/>
      <c r="I25" s="24"/>
      <c r="J25" s="24"/>
      <c r="M25" s="24" t="s">
        <v>4</v>
      </c>
      <c r="N25" s="24"/>
      <c r="O25" s="24">
        <f>D33</f>
        <v>144</v>
      </c>
      <c r="P25" s="24" t="s">
        <v>9</v>
      </c>
      <c r="Q25" s="24"/>
      <c r="R25" s="26"/>
    </row>
    <row r="26" spans="1:18" x14ac:dyDescent="0.25">
      <c r="A26" s="23" t="s">
        <v>0</v>
      </c>
      <c r="B26" s="27">
        <v>6</v>
      </c>
      <c r="C26" s="24" t="s">
        <v>21</v>
      </c>
      <c r="D26" s="24">
        <f>1*B26*B7</f>
        <v>48</v>
      </c>
      <c r="E26" s="24" t="s">
        <v>9</v>
      </c>
      <c r="F26" s="24" t="s">
        <v>18</v>
      </c>
      <c r="G26" s="24"/>
      <c r="H26" s="24"/>
      <c r="I26" s="24"/>
      <c r="J26" s="24"/>
      <c r="M26" s="24" t="s">
        <v>3</v>
      </c>
      <c r="N26" s="24"/>
      <c r="O26" s="24">
        <f>D27</f>
        <v>67</v>
      </c>
      <c r="P26" s="24" t="s">
        <v>9</v>
      </c>
      <c r="Q26" s="24"/>
      <c r="R26" s="26"/>
    </row>
    <row r="27" spans="1:18" x14ac:dyDescent="0.25">
      <c r="A27" s="23" t="s">
        <v>3</v>
      </c>
      <c r="B27" s="27">
        <v>67</v>
      </c>
      <c r="C27" s="24" t="s">
        <v>24</v>
      </c>
      <c r="D27" s="24">
        <v>67</v>
      </c>
      <c r="E27" s="24" t="s">
        <v>9</v>
      </c>
      <c r="F27" s="37" t="s">
        <v>64</v>
      </c>
      <c r="G27" s="24"/>
      <c r="H27" s="24"/>
      <c r="I27" s="24"/>
      <c r="J27" s="24"/>
      <c r="M27" s="24" t="s">
        <v>28</v>
      </c>
      <c r="N27" s="24"/>
      <c r="O27" s="24">
        <f>D28</f>
        <v>4</v>
      </c>
      <c r="P27" s="24" t="s">
        <v>9</v>
      </c>
      <c r="Q27" s="24"/>
      <c r="R27" s="26"/>
    </row>
    <row r="28" spans="1:18" x14ac:dyDescent="0.25">
      <c r="A28" s="23" t="s">
        <v>28</v>
      </c>
      <c r="B28" s="27">
        <v>6</v>
      </c>
      <c r="C28" s="24" t="s">
        <v>21</v>
      </c>
      <c r="D28" s="24">
        <f>5/60*B28*B7</f>
        <v>4</v>
      </c>
      <c r="E28" s="24" t="s">
        <v>9</v>
      </c>
      <c r="F28" s="37" t="s">
        <v>29</v>
      </c>
      <c r="G28" s="24"/>
      <c r="H28" s="24"/>
      <c r="I28" s="24"/>
      <c r="J28" s="24"/>
      <c r="M28" s="30" t="s">
        <v>26</v>
      </c>
      <c r="N28" s="24"/>
      <c r="O28" s="30">
        <f>SUM(O25:O27)</f>
        <v>215</v>
      </c>
      <c r="P28" s="30" t="s">
        <v>9</v>
      </c>
      <c r="R28" s="26"/>
    </row>
    <row r="29" spans="1:18" x14ac:dyDescent="0.25">
      <c r="A29" s="23" t="s">
        <v>13</v>
      </c>
      <c r="B29" s="27">
        <v>100</v>
      </c>
      <c r="C29" s="24" t="s">
        <v>110</v>
      </c>
      <c r="D29" s="24">
        <f>B29</f>
        <v>100</v>
      </c>
      <c r="E29" s="24" t="s">
        <v>9</v>
      </c>
      <c r="F29" s="24" t="s">
        <v>111</v>
      </c>
      <c r="G29" s="24"/>
      <c r="H29" s="24"/>
      <c r="I29" s="24"/>
      <c r="J29" s="24"/>
      <c r="Q29" s="24"/>
      <c r="R29" s="26"/>
    </row>
    <row r="30" spans="1:18" x14ac:dyDescent="0.25">
      <c r="A30" s="28" t="s">
        <v>26</v>
      </c>
      <c r="B30" s="27"/>
      <c r="C30" s="24"/>
      <c r="D30" s="30">
        <f>SUM(D25:D29)</f>
        <v>519</v>
      </c>
      <c r="E30" s="30" t="s">
        <v>9</v>
      </c>
      <c r="F30" s="38">
        <f>D30/B7</f>
        <v>64.875</v>
      </c>
      <c r="G30" s="30" t="s">
        <v>31</v>
      </c>
      <c r="H30" s="24"/>
      <c r="I30" s="24"/>
      <c r="J30" s="24"/>
      <c r="M30" s="24"/>
      <c r="N30" s="24"/>
      <c r="O30" s="24"/>
      <c r="P30" s="24"/>
      <c r="Q30" s="24"/>
      <c r="R30" s="26"/>
    </row>
    <row r="31" spans="1:18" x14ac:dyDescent="0.25">
      <c r="A31" s="28"/>
      <c r="B31" s="27"/>
      <c r="C31" s="24"/>
      <c r="D31" s="30"/>
      <c r="E31" s="30"/>
      <c r="F31" s="24"/>
      <c r="G31" s="24"/>
      <c r="H31" s="24"/>
      <c r="I31" s="24"/>
      <c r="J31" s="24"/>
      <c r="M31" s="24"/>
      <c r="N31" s="24"/>
      <c r="O31" s="24"/>
      <c r="P31" s="24"/>
      <c r="Q31" s="24"/>
      <c r="R31" s="26"/>
    </row>
    <row r="32" spans="1:18" x14ac:dyDescent="0.25">
      <c r="A32" s="28" t="s">
        <v>15</v>
      </c>
      <c r="B32" s="27"/>
      <c r="C32" s="24"/>
      <c r="D32" s="24"/>
      <c r="E32" s="24"/>
      <c r="F32" s="24"/>
      <c r="G32" s="24"/>
      <c r="H32" s="24"/>
      <c r="I32" s="24"/>
      <c r="J32" s="24"/>
      <c r="M32" s="50" t="s">
        <v>113</v>
      </c>
      <c r="N32" s="24"/>
      <c r="O32" s="24"/>
      <c r="P32" s="24"/>
      <c r="Q32" s="24"/>
      <c r="R32" s="26"/>
    </row>
    <row r="33" spans="1:18" x14ac:dyDescent="0.25">
      <c r="A33" s="23" t="s">
        <v>4</v>
      </c>
      <c r="B33" s="39" t="s">
        <v>112</v>
      </c>
      <c r="C33" s="27" t="s">
        <v>23</v>
      </c>
      <c r="D33" s="24">
        <f>(4.5*2*B7)+(3*3*B7)</f>
        <v>144</v>
      </c>
      <c r="E33" s="24" t="s">
        <v>9</v>
      </c>
      <c r="F33" s="24" t="s">
        <v>22</v>
      </c>
      <c r="G33" s="24"/>
      <c r="H33" s="24"/>
      <c r="I33" s="24"/>
      <c r="J33" s="24"/>
      <c r="M33" s="40">
        <f>D36</f>
        <v>177.8</v>
      </c>
      <c r="N33" s="24" t="s">
        <v>9</v>
      </c>
      <c r="O33" s="24" t="s">
        <v>32</v>
      </c>
      <c r="P33" s="24"/>
      <c r="Q33" s="24"/>
      <c r="R33" s="26"/>
    </row>
    <row r="34" spans="1:18" x14ac:dyDescent="0.25">
      <c r="A34" s="23" t="s">
        <v>2</v>
      </c>
      <c r="B34" s="27">
        <v>9.8000000000000007</v>
      </c>
      <c r="C34" s="24" t="s">
        <v>16</v>
      </c>
      <c r="D34" s="24">
        <f>B34</f>
        <v>9.8000000000000007</v>
      </c>
      <c r="E34" s="24" t="s">
        <v>9</v>
      </c>
      <c r="F34" s="24" t="s">
        <v>25</v>
      </c>
      <c r="G34" s="24"/>
      <c r="H34" s="24"/>
      <c r="I34" s="24"/>
      <c r="J34" s="24"/>
      <c r="M34" s="24">
        <f>D30-O28</f>
        <v>304</v>
      </c>
      <c r="N34" s="24" t="s">
        <v>9</v>
      </c>
      <c r="O34" s="24" t="s">
        <v>33</v>
      </c>
      <c r="P34" s="24"/>
      <c r="Q34" s="24"/>
      <c r="R34" s="26"/>
    </row>
    <row r="35" spans="1:18" x14ac:dyDescent="0.25">
      <c r="A35" s="23" t="s">
        <v>5</v>
      </c>
      <c r="B35" s="27">
        <v>6</v>
      </c>
      <c r="C35" s="24" t="s">
        <v>21</v>
      </c>
      <c r="D35" s="24">
        <f>B35*4</f>
        <v>24</v>
      </c>
      <c r="E35" s="24" t="s">
        <v>9</v>
      </c>
      <c r="F35" s="24" t="s">
        <v>19</v>
      </c>
      <c r="G35" s="24"/>
      <c r="H35" s="24"/>
      <c r="I35" s="24"/>
      <c r="J35" s="24"/>
      <c r="M35" s="38">
        <f>M33+M34</f>
        <v>481.8</v>
      </c>
      <c r="N35" s="30" t="s">
        <v>9</v>
      </c>
      <c r="O35" s="24"/>
      <c r="P35" s="24"/>
      <c r="Q35" s="24"/>
      <c r="R35" s="26"/>
    </row>
    <row r="36" spans="1:18" x14ac:dyDescent="0.25">
      <c r="A36" s="28" t="s">
        <v>26</v>
      </c>
      <c r="B36" s="27"/>
      <c r="C36" s="24"/>
      <c r="D36" s="30">
        <f>SUM(D33:D35)</f>
        <v>177.8</v>
      </c>
      <c r="E36" s="30" t="s">
        <v>9</v>
      </c>
      <c r="F36" s="38">
        <f>D36/B7</f>
        <v>22.225000000000001</v>
      </c>
      <c r="G36" s="30" t="s">
        <v>31</v>
      </c>
      <c r="H36" s="24"/>
      <c r="I36" s="24"/>
      <c r="J36" s="24"/>
      <c r="M36" s="40">
        <f>M35/M16</f>
        <v>60.225000000000001</v>
      </c>
      <c r="N36" s="24" t="s">
        <v>30</v>
      </c>
      <c r="O36" s="24"/>
      <c r="P36" s="24"/>
      <c r="Q36" s="24"/>
      <c r="R36" s="26"/>
    </row>
    <row r="37" spans="1:18" x14ac:dyDescent="0.25">
      <c r="A37" s="23"/>
      <c r="B37" s="27"/>
      <c r="C37" s="24"/>
      <c r="D37" s="24"/>
      <c r="E37" s="24"/>
      <c r="F37" s="24"/>
      <c r="G37" s="24"/>
      <c r="H37" s="24"/>
      <c r="I37" s="24"/>
      <c r="J37" s="24"/>
      <c r="M37" s="53">
        <v>63.4</v>
      </c>
      <c r="N37" s="30" t="s">
        <v>63</v>
      </c>
      <c r="O37" s="24"/>
      <c r="P37" s="24" t="s">
        <v>68</v>
      </c>
      <c r="Q37" s="24"/>
      <c r="R37" s="26"/>
    </row>
    <row r="38" spans="1:18" x14ac:dyDescent="0.25">
      <c r="A38" s="23"/>
      <c r="B38" s="27"/>
      <c r="C38" s="24"/>
      <c r="D38" s="24"/>
      <c r="E38" s="29" t="s">
        <v>65</v>
      </c>
      <c r="F38" s="38">
        <f>F36+F30</f>
        <v>87.1</v>
      </c>
      <c r="G38" s="30" t="s">
        <v>31</v>
      </c>
      <c r="H38" s="30"/>
      <c r="I38" s="24"/>
      <c r="J38" s="24"/>
      <c r="M38" s="24"/>
      <c r="N38" s="24"/>
      <c r="O38" s="24"/>
      <c r="P38" s="24"/>
      <c r="Q38" s="24"/>
      <c r="R38" s="26"/>
    </row>
    <row r="39" spans="1:18" x14ac:dyDescent="0.25">
      <c r="A39" s="32"/>
      <c r="B39" s="41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6"/>
    </row>
    <row r="40" spans="1:18" x14ac:dyDescent="0.25">
      <c r="A40" s="24"/>
      <c r="B40" s="27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</row>
  </sheetData>
  <pageMargins left="0.70866141732283472" right="0.70866141732283472" top="0.74803149606299213" bottom="0.74803149606299213" header="0.31496062992125984" footer="0.31496062992125984"/>
  <pageSetup paperSize="8" scale="7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6"/>
  <sheetViews>
    <sheetView zoomScale="55" zoomScaleNormal="55" workbookViewId="0">
      <selection activeCell="AA55" sqref="AA55"/>
    </sheetView>
  </sheetViews>
  <sheetFormatPr defaultColWidth="9.140625" defaultRowHeight="15" x14ac:dyDescent="0.25"/>
  <cols>
    <col min="1" max="1" width="23.42578125" style="2" bestFit="1" customWidth="1"/>
    <col min="2" max="2" width="14.5703125" style="2" customWidth="1"/>
    <col min="3" max="3" width="16" style="2" customWidth="1"/>
    <col min="4" max="18" width="8.28515625" style="2" customWidth="1"/>
    <col min="19" max="16384" width="9.140625" style="2"/>
  </cols>
  <sheetData>
    <row r="1" spans="1:18" x14ac:dyDescent="0.25">
      <c r="A1" s="1" t="s">
        <v>54</v>
      </c>
      <c r="B1" s="2" t="s">
        <v>55</v>
      </c>
    </row>
    <row r="2" spans="1:18" x14ac:dyDescent="0.25">
      <c r="A2" s="1" t="s">
        <v>56</v>
      </c>
      <c r="B2" s="2" t="s">
        <v>57</v>
      </c>
    </row>
    <row r="3" spans="1:18" x14ac:dyDescent="0.25">
      <c r="A3" s="1" t="s">
        <v>58</v>
      </c>
      <c r="B3" s="3">
        <v>42580</v>
      </c>
    </row>
    <row r="6" spans="1:18" ht="15.75" x14ac:dyDescent="0.25">
      <c r="A6" s="52" t="s">
        <v>108</v>
      </c>
    </row>
    <row r="8" spans="1:18" x14ac:dyDescent="0.25">
      <c r="C8" s="14"/>
      <c r="D8" s="54" t="s">
        <v>42</v>
      </c>
      <c r="E8" s="54"/>
      <c r="F8" s="54"/>
      <c r="G8" s="54"/>
      <c r="H8" s="54"/>
      <c r="I8" s="54" t="s">
        <v>43</v>
      </c>
      <c r="J8" s="54"/>
      <c r="K8" s="54"/>
      <c r="L8" s="54"/>
      <c r="M8" s="54"/>
      <c r="N8" s="54" t="s">
        <v>44</v>
      </c>
      <c r="O8" s="54"/>
      <c r="P8" s="54"/>
      <c r="Q8" s="54"/>
      <c r="R8" s="54"/>
    </row>
    <row r="9" spans="1:18" s="1" customFormat="1" ht="59.25" customHeight="1" x14ac:dyDescent="0.25">
      <c r="A9" s="1" t="s">
        <v>50</v>
      </c>
      <c r="B9" s="9" t="s">
        <v>51</v>
      </c>
      <c r="C9" s="15" t="s">
        <v>49</v>
      </c>
      <c r="D9" s="15" t="s">
        <v>59</v>
      </c>
      <c r="E9" s="8" t="s">
        <v>46</v>
      </c>
      <c r="F9" s="8" t="s">
        <v>36</v>
      </c>
      <c r="G9" s="15" t="s">
        <v>60</v>
      </c>
      <c r="H9" s="15" t="s">
        <v>61</v>
      </c>
      <c r="I9" s="15" t="s">
        <v>59</v>
      </c>
      <c r="J9" s="8" t="s">
        <v>46</v>
      </c>
      <c r="K9" s="8" t="s">
        <v>36</v>
      </c>
      <c r="L9" s="15" t="s">
        <v>60</v>
      </c>
      <c r="M9" s="15" t="s">
        <v>61</v>
      </c>
      <c r="N9" s="15" t="s">
        <v>59</v>
      </c>
      <c r="O9" s="8" t="s">
        <v>46</v>
      </c>
      <c r="P9" s="8" t="s">
        <v>36</v>
      </c>
      <c r="Q9" s="15" t="s">
        <v>60</v>
      </c>
      <c r="R9" s="15" t="s">
        <v>61</v>
      </c>
    </row>
    <row r="10" spans="1:18" x14ac:dyDescent="0.25">
      <c r="A10" s="14" t="s">
        <v>40</v>
      </c>
      <c r="B10" s="10">
        <f>D10+I10+N10</f>
        <v>661</v>
      </c>
      <c r="C10" s="10">
        <v>16.8</v>
      </c>
      <c r="D10" s="10">
        <v>183</v>
      </c>
      <c r="E10" s="10">
        <v>0.95</v>
      </c>
      <c r="F10" s="11">
        <f>D10*E10*C10</f>
        <v>2920.68</v>
      </c>
      <c r="G10" s="12">
        <f>F10/3600</f>
        <v>0.81129999999999991</v>
      </c>
      <c r="H10" s="12">
        <f>G10*0.65</f>
        <v>0.52734499999999995</v>
      </c>
      <c r="I10" s="10">
        <v>224</v>
      </c>
      <c r="J10" s="10">
        <v>0.3</v>
      </c>
      <c r="K10" s="11">
        <f>C10*J10*I10</f>
        <v>1128.96</v>
      </c>
      <c r="L10" s="12">
        <f>K10/3600</f>
        <v>0.31359999999999999</v>
      </c>
      <c r="M10" s="12">
        <f>L10*0.65</f>
        <v>0.20383999999999999</v>
      </c>
      <c r="N10" s="10">
        <v>254</v>
      </c>
      <c r="O10" s="10">
        <v>0.95</v>
      </c>
      <c r="P10" s="11">
        <f>O10*N10*C10</f>
        <v>4053.8399999999997</v>
      </c>
      <c r="Q10" s="12">
        <f>P10/3600</f>
        <v>1.1260666666666665</v>
      </c>
      <c r="R10" s="13">
        <f>0.65*Q10</f>
        <v>0.73194333333333328</v>
      </c>
    </row>
    <row r="11" spans="1:18" x14ac:dyDescent="0.25">
      <c r="A11" s="14" t="s">
        <v>41</v>
      </c>
      <c r="B11" s="10">
        <f>D11+I11+N11</f>
        <v>642</v>
      </c>
      <c r="C11" s="10">
        <v>16.8</v>
      </c>
      <c r="D11" s="10">
        <v>148</v>
      </c>
      <c r="E11" s="10">
        <v>0.95</v>
      </c>
      <c r="F11" s="11">
        <f>D11*E11*C11</f>
        <v>2362.08</v>
      </c>
      <c r="G11" s="12">
        <f>F11/3600</f>
        <v>0.65613333333333335</v>
      </c>
      <c r="H11" s="12">
        <f>G11*0.65</f>
        <v>0.42648666666666668</v>
      </c>
      <c r="I11" s="10">
        <v>300</v>
      </c>
      <c r="J11" s="10">
        <v>0.3</v>
      </c>
      <c r="K11" s="11">
        <f>C11*J11*I11</f>
        <v>1512</v>
      </c>
      <c r="L11" s="12">
        <f>K11/3600</f>
        <v>0.42</v>
      </c>
      <c r="M11" s="12">
        <f>L11*0.65</f>
        <v>0.27300000000000002</v>
      </c>
      <c r="N11" s="10">
        <v>194</v>
      </c>
      <c r="O11" s="10">
        <v>0.95</v>
      </c>
      <c r="P11" s="11">
        <f>O11*N11*C11</f>
        <v>3096.24</v>
      </c>
      <c r="Q11" s="12">
        <f>P11/3600</f>
        <v>0.86006666666666665</v>
      </c>
      <c r="R11" s="13">
        <f>0.65*Q11</f>
        <v>0.55904333333333334</v>
      </c>
    </row>
    <row r="12" spans="1:18" x14ac:dyDescent="0.25">
      <c r="A12" s="14" t="s">
        <v>45</v>
      </c>
      <c r="B12" s="10">
        <f>D12+I12+N12</f>
        <v>723</v>
      </c>
      <c r="C12" s="10">
        <v>16.8</v>
      </c>
      <c r="D12" s="10">
        <v>170</v>
      </c>
      <c r="E12" s="10">
        <v>0.95</v>
      </c>
      <c r="F12" s="11">
        <f>D12*E12*C12</f>
        <v>2713.2000000000003</v>
      </c>
      <c r="G12" s="12">
        <f>F12/3600</f>
        <v>0.75366666666666671</v>
      </c>
      <c r="H12" s="12">
        <f>G12*0.65</f>
        <v>0.48988333333333339</v>
      </c>
      <c r="I12" s="10">
        <v>291</v>
      </c>
      <c r="J12" s="10">
        <v>0.3</v>
      </c>
      <c r="K12" s="11">
        <f>C12*J12*I12</f>
        <v>1466.64</v>
      </c>
      <c r="L12" s="12">
        <f>K12/3600</f>
        <v>0.40740000000000004</v>
      </c>
      <c r="M12" s="12">
        <f>L12*0.65</f>
        <v>0.26481000000000005</v>
      </c>
      <c r="N12" s="10">
        <v>262</v>
      </c>
      <c r="O12" s="10">
        <v>0.95</v>
      </c>
      <c r="P12" s="11">
        <f>O12*N12*C12</f>
        <v>4181.5199999999995</v>
      </c>
      <c r="Q12" s="12">
        <f>P12/3600</f>
        <v>1.1615333333333333</v>
      </c>
      <c r="R12" s="13">
        <f>0.65*Q12</f>
        <v>0.75499666666666665</v>
      </c>
    </row>
    <row r="13" spans="1:18" x14ac:dyDescent="0.25">
      <c r="B13" s="4">
        <f>SUM(B10:B12)</f>
        <v>2026</v>
      </c>
      <c r="E13" s="2" t="s">
        <v>47</v>
      </c>
    </row>
    <row r="14" spans="1:18" x14ac:dyDescent="0.25">
      <c r="D14" s="54" t="s">
        <v>42</v>
      </c>
      <c r="E14" s="54"/>
      <c r="F14" s="54"/>
      <c r="G14" s="54"/>
      <c r="H14" s="54"/>
      <c r="I14" s="54" t="s">
        <v>43</v>
      </c>
      <c r="J14" s="54"/>
      <c r="K14" s="54"/>
      <c r="L14" s="54"/>
      <c r="M14" s="54"/>
      <c r="N14" s="54" t="s">
        <v>44</v>
      </c>
      <c r="O14" s="54"/>
      <c r="P14" s="54"/>
      <c r="Q14" s="54"/>
      <c r="R14" s="54"/>
    </row>
    <row r="15" spans="1:18" ht="45" x14ac:dyDescent="0.25">
      <c r="A15" s="1" t="s">
        <v>52</v>
      </c>
      <c r="B15" s="9" t="s">
        <v>51</v>
      </c>
      <c r="C15" s="15" t="s">
        <v>49</v>
      </c>
      <c r="D15" s="15" t="s">
        <v>59</v>
      </c>
      <c r="E15" s="8" t="s">
        <v>46</v>
      </c>
      <c r="F15" s="8" t="s">
        <v>36</v>
      </c>
      <c r="G15" s="15" t="s">
        <v>60</v>
      </c>
      <c r="H15" s="15" t="s">
        <v>61</v>
      </c>
      <c r="I15" s="15" t="s">
        <v>59</v>
      </c>
      <c r="J15" s="8" t="s">
        <v>46</v>
      </c>
      <c r="K15" s="8" t="s">
        <v>36</v>
      </c>
      <c r="L15" s="15" t="s">
        <v>60</v>
      </c>
      <c r="M15" s="15" t="s">
        <v>61</v>
      </c>
      <c r="N15" s="15" t="s">
        <v>59</v>
      </c>
      <c r="O15" s="8" t="s">
        <v>46</v>
      </c>
      <c r="P15" s="8" t="s">
        <v>36</v>
      </c>
      <c r="Q15" s="15" t="s">
        <v>60</v>
      </c>
      <c r="R15" s="15" t="s">
        <v>61</v>
      </c>
    </row>
    <row r="16" spans="1:18" x14ac:dyDescent="0.25">
      <c r="A16" s="14" t="s">
        <v>40</v>
      </c>
      <c r="B16" s="10">
        <f>D16+I16+N16</f>
        <v>1012</v>
      </c>
      <c r="C16" s="10">
        <v>16.8</v>
      </c>
      <c r="D16" s="10">
        <v>245</v>
      </c>
      <c r="E16" s="10">
        <v>0.95</v>
      </c>
      <c r="F16" s="11">
        <f>D16*E16*C16</f>
        <v>3910.2000000000003</v>
      </c>
      <c r="G16" s="12">
        <f>F16/3600</f>
        <v>1.0861666666666667</v>
      </c>
      <c r="H16" s="12">
        <f>G16*0.65</f>
        <v>0.70600833333333335</v>
      </c>
      <c r="I16" s="10">
        <f>1012-N16-D16</f>
        <v>431</v>
      </c>
      <c r="J16" s="10">
        <v>0.3</v>
      </c>
      <c r="K16" s="11">
        <f>C16*J16*I16</f>
        <v>2172.2400000000002</v>
      </c>
      <c r="L16" s="12">
        <f>K16/3600</f>
        <v>0.60340000000000005</v>
      </c>
      <c r="M16" s="12">
        <f>L16*0.65</f>
        <v>0.39221000000000006</v>
      </c>
      <c r="N16" s="10">
        <f>231+105</f>
        <v>336</v>
      </c>
      <c r="O16" s="10">
        <v>0.95</v>
      </c>
      <c r="P16" s="11">
        <f>O16*N16*C16</f>
        <v>5362.56</v>
      </c>
      <c r="Q16" s="12">
        <f>P16/3600</f>
        <v>1.4896</v>
      </c>
      <c r="R16" s="13">
        <f>0.65*Q16</f>
        <v>0.9682400000000001</v>
      </c>
    </row>
    <row r="17" spans="1:18" x14ac:dyDescent="0.25">
      <c r="A17" s="14" t="s">
        <v>41</v>
      </c>
      <c r="B17" s="10">
        <f>D17+I17+N17</f>
        <v>1012</v>
      </c>
      <c r="C17" s="10">
        <v>16.8</v>
      </c>
      <c r="D17" s="10">
        <v>212</v>
      </c>
      <c r="E17" s="10">
        <v>0.95</v>
      </c>
      <c r="F17" s="11">
        <f>D17*E17*C17</f>
        <v>3383.52</v>
      </c>
      <c r="G17" s="12">
        <f>F17/3600</f>
        <v>0.93986666666666663</v>
      </c>
      <c r="H17" s="12">
        <f>G17*0.65</f>
        <v>0.61091333333333331</v>
      </c>
      <c r="I17" s="10">
        <f>1012-N17-D17</f>
        <v>606</v>
      </c>
      <c r="J17" s="10">
        <v>0.3</v>
      </c>
      <c r="K17" s="11">
        <f>C17*J17*I17</f>
        <v>3054.2400000000002</v>
      </c>
      <c r="L17" s="12">
        <f>K17/3600</f>
        <v>0.84840000000000004</v>
      </c>
      <c r="M17" s="12">
        <f>L17*0.65</f>
        <v>0.55146000000000006</v>
      </c>
      <c r="N17" s="10">
        <v>194</v>
      </c>
      <c r="O17" s="10">
        <v>0.95</v>
      </c>
      <c r="P17" s="11">
        <f>O17*N17*C17</f>
        <v>3096.24</v>
      </c>
      <c r="Q17" s="12">
        <f>P17/3600</f>
        <v>0.86006666666666665</v>
      </c>
      <c r="R17" s="13">
        <f>0.65*Q17</f>
        <v>0.55904333333333334</v>
      </c>
    </row>
    <row r="18" spans="1:18" x14ac:dyDescent="0.25">
      <c r="B18" s="4">
        <f>B16+B17</f>
        <v>2024</v>
      </c>
      <c r="H18" s="5" t="s">
        <v>48</v>
      </c>
    </row>
    <row r="20" spans="1:18" x14ac:dyDescent="0.25">
      <c r="A20" s="2" t="s">
        <v>35</v>
      </c>
      <c r="B20" s="6">
        <f>F10+P10</f>
        <v>6974.5199999999995</v>
      </c>
      <c r="C20" s="2" t="s">
        <v>36</v>
      </c>
    </row>
    <row r="21" spans="1:18" x14ac:dyDescent="0.25">
      <c r="A21" s="2" t="s">
        <v>37</v>
      </c>
      <c r="B21" s="6">
        <f>F11+P11</f>
        <v>5458.32</v>
      </c>
      <c r="C21" s="2" t="s">
        <v>36</v>
      </c>
    </row>
    <row r="22" spans="1:18" x14ac:dyDescent="0.25">
      <c r="A22" s="2" t="s">
        <v>38</v>
      </c>
      <c r="B22" s="6">
        <f>F12+P12</f>
        <v>6894.7199999999993</v>
      </c>
      <c r="C22" s="2" t="s">
        <v>36</v>
      </c>
    </row>
    <row r="23" spans="1:18" x14ac:dyDescent="0.25">
      <c r="A23" s="1" t="s">
        <v>26</v>
      </c>
      <c r="B23" s="7">
        <f>SUM(B20:B22)</f>
        <v>19327.559999999998</v>
      </c>
      <c r="C23" s="1" t="s">
        <v>36</v>
      </c>
      <c r="D23" s="2" t="s">
        <v>39</v>
      </c>
    </row>
    <row r="24" spans="1:18" x14ac:dyDescent="0.25">
      <c r="A24" s="2" t="s">
        <v>34</v>
      </c>
    </row>
    <row r="26" spans="1:18" x14ac:dyDescent="0.25">
      <c r="B26" s="1">
        <v>25000</v>
      </c>
      <c r="C26" s="1" t="s">
        <v>53</v>
      </c>
    </row>
  </sheetData>
  <mergeCells count="6">
    <mergeCell ref="D8:H8"/>
    <mergeCell ref="I8:M8"/>
    <mergeCell ref="N8:R8"/>
    <mergeCell ref="D14:H14"/>
    <mergeCell ref="I14:M14"/>
    <mergeCell ref="N14:R14"/>
  </mergeCells>
  <pageMargins left="0.70866141732283472" right="0.70866141732283472" top="0.74803149606299213" bottom="0.74803149606299213" header="0.31496062992125984" footer="0.31496062992125984"/>
  <pageSetup paperSize="8" scale="7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zoomScale="70" zoomScaleNormal="70" workbookViewId="0">
      <selection activeCell="S13" sqref="S13"/>
    </sheetView>
  </sheetViews>
  <sheetFormatPr defaultColWidth="9.140625" defaultRowHeight="15" x14ac:dyDescent="0.25"/>
  <cols>
    <col min="1" max="1" width="23.42578125" style="2" bestFit="1" customWidth="1"/>
    <col min="2" max="2" width="14.5703125" style="2" customWidth="1"/>
    <col min="3" max="3" width="16" style="2" customWidth="1"/>
    <col min="4" max="18" width="8.28515625" style="2" customWidth="1"/>
    <col min="19" max="16384" width="9.140625" style="2"/>
  </cols>
  <sheetData>
    <row r="1" spans="1:19" x14ac:dyDescent="0.25">
      <c r="A1" s="1" t="s">
        <v>54</v>
      </c>
      <c r="B1" s="2" t="s">
        <v>55</v>
      </c>
    </row>
    <row r="2" spans="1:19" x14ac:dyDescent="0.25">
      <c r="A2" s="1" t="s">
        <v>56</v>
      </c>
      <c r="B2" s="2" t="s">
        <v>57</v>
      </c>
    </row>
    <row r="3" spans="1:19" x14ac:dyDescent="0.25">
      <c r="A3" s="1" t="s">
        <v>58</v>
      </c>
      <c r="B3" s="3">
        <v>42580</v>
      </c>
    </row>
    <row r="8" spans="1:19" x14ac:dyDescent="0.25">
      <c r="C8" s="14"/>
      <c r="D8" s="54" t="s">
        <v>42</v>
      </c>
      <c r="E8" s="54"/>
      <c r="F8" s="54"/>
      <c r="G8" s="54"/>
      <c r="H8" s="54"/>
      <c r="I8" s="54" t="s">
        <v>43</v>
      </c>
      <c r="J8" s="54"/>
      <c r="K8" s="54"/>
      <c r="L8" s="54"/>
      <c r="M8" s="54"/>
      <c r="N8" s="54" t="s">
        <v>44</v>
      </c>
      <c r="O8" s="54"/>
      <c r="P8" s="54"/>
      <c r="Q8" s="54"/>
      <c r="R8" s="54"/>
    </row>
    <row r="9" spans="1:19" s="1" customFormat="1" ht="59.25" customHeight="1" x14ac:dyDescent="0.25">
      <c r="A9" s="1" t="s">
        <v>50</v>
      </c>
      <c r="B9" s="9" t="s">
        <v>51</v>
      </c>
      <c r="C9" s="15" t="s">
        <v>49</v>
      </c>
      <c r="D9" s="15" t="s">
        <v>59</v>
      </c>
      <c r="E9" s="8" t="s">
        <v>46</v>
      </c>
      <c r="F9" s="8" t="s">
        <v>36</v>
      </c>
      <c r="G9" s="15" t="s">
        <v>60</v>
      </c>
      <c r="H9" s="15" t="s">
        <v>61</v>
      </c>
      <c r="I9" s="15" t="s">
        <v>59</v>
      </c>
      <c r="J9" s="8" t="s">
        <v>46</v>
      </c>
      <c r="K9" s="8" t="s">
        <v>36</v>
      </c>
      <c r="L9" s="15" t="s">
        <v>60</v>
      </c>
      <c r="M9" s="15" t="s">
        <v>61</v>
      </c>
      <c r="N9" s="15" t="s">
        <v>59</v>
      </c>
      <c r="O9" s="8" t="s">
        <v>46</v>
      </c>
      <c r="P9" s="8" t="s">
        <v>36</v>
      </c>
      <c r="Q9" s="15" t="s">
        <v>60</v>
      </c>
      <c r="R9" s="15" t="s">
        <v>61</v>
      </c>
    </row>
    <row r="10" spans="1:19" x14ac:dyDescent="0.25">
      <c r="A10" s="14" t="s">
        <v>40</v>
      </c>
      <c r="B10" s="10">
        <f>D10+I10+N10</f>
        <v>661</v>
      </c>
      <c r="C10" s="10">
        <v>16.8</v>
      </c>
      <c r="D10" s="10">
        <v>183</v>
      </c>
      <c r="E10" s="10">
        <v>0.95</v>
      </c>
      <c r="F10" s="11">
        <f>D10*E10*C10</f>
        <v>2920.68</v>
      </c>
      <c r="G10" s="12">
        <f>F10/3600</f>
        <v>0.81129999999999991</v>
      </c>
      <c r="H10" s="12">
        <f>G10*0.65</f>
        <v>0.52734499999999995</v>
      </c>
      <c r="I10" s="10">
        <v>224</v>
      </c>
      <c r="J10" s="10">
        <v>0.3</v>
      </c>
      <c r="K10" s="11">
        <f>C10*J10*I10</f>
        <v>1128.96</v>
      </c>
      <c r="L10" s="12">
        <f>K10/3600</f>
        <v>0.31359999999999999</v>
      </c>
      <c r="M10" s="12">
        <f>L10*0.65</f>
        <v>0.20383999999999999</v>
      </c>
      <c r="N10" s="10">
        <v>254</v>
      </c>
      <c r="O10" s="10">
        <v>0.95</v>
      </c>
      <c r="P10" s="11">
        <f>O10*N10*C10</f>
        <v>4053.8399999999997</v>
      </c>
      <c r="Q10" s="12">
        <f>P10/3600</f>
        <v>1.1260666666666665</v>
      </c>
      <c r="R10" s="13">
        <f>0.65*Q10</f>
        <v>0.73194333333333328</v>
      </c>
    </row>
    <row r="11" spans="1:19" x14ac:dyDescent="0.25">
      <c r="A11" s="14" t="s">
        <v>41</v>
      </c>
      <c r="B11" s="10">
        <f>D11+I11+N11</f>
        <v>642</v>
      </c>
      <c r="C11" s="10">
        <v>16.8</v>
      </c>
      <c r="D11" s="10">
        <v>148</v>
      </c>
      <c r="E11" s="10">
        <v>0.95</v>
      </c>
      <c r="F11" s="11">
        <f>D11*E11*C11</f>
        <v>2362.08</v>
      </c>
      <c r="G11" s="12">
        <f>F11/3600</f>
        <v>0.65613333333333335</v>
      </c>
      <c r="H11" s="12">
        <f>G11*0.65</f>
        <v>0.42648666666666668</v>
      </c>
      <c r="I11" s="10">
        <v>300</v>
      </c>
      <c r="J11" s="10">
        <v>0.3</v>
      </c>
      <c r="K11" s="11">
        <f>C11*J11*I11</f>
        <v>1512</v>
      </c>
      <c r="L11" s="12">
        <f>K11/3600</f>
        <v>0.42</v>
      </c>
      <c r="M11" s="12">
        <f>L11*0.65</f>
        <v>0.27300000000000002</v>
      </c>
      <c r="N11" s="10">
        <v>194</v>
      </c>
      <c r="O11" s="10">
        <v>0.95</v>
      </c>
      <c r="P11" s="11">
        <f>O11*N11*C11</f>
        <v>3096.24</v>
      </c>
      <c r="Q11" s="12">
        <f>P11/3600</f>
        <v>0.86006666666666665</v>
      </c>
      <c r="R11" s="13">
        <f>0.65*Q11</f>
        <v>0.55904333333333334</v>
      </c>
    </row>
    <row r="12" spans="1:19" x14ac:dyDescent="0.25">
      <c r="A12" s="14" t="s">
        <v>45</v>
      </c>
      <c r="B12" s="10">
        <f>D12+I12+N12</f>
        <v>723</v>
      </c>
      <c r="C12" s="10">
        <v>16.8</v>
      </c>
      <c r="D12" s="10">
        <v>170</v>
      </c>
      <c r="E12" s="10">
        <v>0.95</v>
      </c>
      <c r="F12" s="11">
        <f>D12*E12*C12</f>
        <v>2713.2000000000003</v>
      </c>
      <c r="G12" s="12">
        <f>F12/3600</f>
        <v>0.75366666666666671</v>
      </c>
      <c r="H12" s="12">
        <f>G12*0.65</f>
        <v>0.48988333333333339</v>
      </c>
      <c r="I12" s="10">
        <v>291</v>
      </c>
      <c r="J12" s="10">
        <v>0.3</v>
      </c>
      <c r="K12" s="11">
        <f>C12*J12*I12</f>
        <v>1466.64</v>
      </c>
      <c r="L12" s="12">
        <f>K12/3600</f>
        <v>0.40740000000000004</v>
      </c>
      <c r="M12" s="12">
        <f>L12*0.65</f>
        <v>0.26481000000000005</v>
      </c>
      <c r="N12" s="10">
        <v>262</v>
      </c>
      <c r="O12" s="10">
        <v>0.35</v>
      </c>
      <c r="P12" s="11">
        <f>O12*N12*C12</f>
        <v>1540.56</v>
      </c>
      <c r="Q12" s="12">
        <f>P12/3600</f>
        <v>0.42793333333333333</v>
      </c>
      <c r="R12" s="13">
        <f>0.65*Q12</f>
        <v>0.27815666666666666</v>
      </c>
      <c r="S12" s="2" t="s">
        <v>66</v>
      </c>
    </row>
    <row r="13" spans="1:19" x14ac:dyDescent="0.25">
      <c r="B13" s="4">
        <f>SUM(B10:B12)</f>
        <v>2026</v>
      </c>
      <c r="E13" s="2" t="s">
        <v>47</v>
      </c>
    </row>
    <row r="14" spans="1:19" x14ac:dyDescent="0.25">
      <c r="D14" s="54" t="s">
        <v>42</v>
      </c>
      <c r="E14" s="54"/>
      <c r="F14" s="54"/>
      <c r="G14" s="54"/>
      <c r="H14" s="54"/>
      <c r="I14" s="54" t="s">
        <v>43</v>
      </c>
      <c r="J14" s="54"/>
      <c r="K14" s="54"/>
      <c r="L14" s="54"/>
      <c r="M14" s="54"/>
      <c r="N14" s="54" t="s">
        <v>44</v>
      </c>
      <c r="O14" s="54"/>
      <c r="P14" s="54"/>
      <c r="Q14" s="54"/>
      <c r="R14" s="54"/>
    </row>
    <row r="15" spans="1:19" ht="45" x14ac:dyDescent="0.25">
      <c r="A15" s="1" t="s">
        <v>52</v>
      </c>
      <c r="B15" s="9" t="s">
        <v>51</v>
      </c>
      <c r="C15" s="15" t="s">
        <v>49</v>
      </c>
      <c r="D15" s="15" t="s">
        <v>59</v>
      </c>
      <c r="E15" s="8" t="s">
        <v>46</v>
      </c>
      <c r="F15" s="8" t="s">
        <v>36</v>
      </c>
      <c r="G15" s="15" t="s">
        <v>60</v>
      </c>
      <c r="H15" s="15" t="s">
        <v>61</v>
      </c>
      <c r="I15" s="15" t="s">
        <v>59</v>
      </c>
      <c r="J15" s="8" t="s">
        <v>46</v>
      </c>
      <c r="K15" s="8" t="s">
        <v>36</v>
      </c>
      <c r="L15" s="15" t="s">
        <v>60</v>
      </c>
      <c r="M15" s="15" t="s">
        <v>61</v>
      </c>
      <c r="N15" s="15" t="s">
        <v>59</v>
      </c>
      <c r="O15" s="8" t="s">
        <v>46</v>
      </c>
      <c r="P15" s="8" t="s">
        <v>36</v>
      </c>
      <c r="Q15" s="15" t="s">
        <v>60</v>
      </c>
      <c r="R15" s="15" t="s">
        <v>61</v>
      </c>
    </row>
    <row r="16" spans="1:19" x14ac:dyDescent="0.25">
      <c r="A16" s="14" t="s">
        <v>40</v>
      </c>
      <c r="B16" s="10">
        <f>D16+I16+N16</f>
        <v>1012</v>
      </c>
      <c r="C16" s="10">
        <v>16.8</v>
      </c>
      <c r="D16" s="10">
        <v>245</v>
      </c>
      <c r="E16" s="10">
        <v>0.95</v>
      </c>
      <c r="F16" s="11">
        <f>D16*E16*C16</f>
        <v>3910.2000000000003</v>
      </c>
      <c r="G16" s="12">
        <f>F16/3600</f>
        <v>1.0861666666666667</v>
      </c>
      <c r="H16" s="12">
        <f>G16*0.65</f>
        <v>0.70600833333333335</v>
      </c>
      <c r="I16" s="10">
        <f>1012-N16-D16</f>
        <v>431</v>
      </c>
      <c r="J16" s="10">
        <v>0.3</v>
      </c>
      <c r="K16" s="11">
        <f>C16*J16*I16</f>
        <v>2172.2400000000002</v>
      </c>
      <c r="L16" s="12">
        <f>K16/3600</f>
        <v>0.60340000000000005</v>
      </c>
      <c r="M16" s="12">
        <f>L16*0.65</f>
        <v>0.39221000000000006</v>
      </c>
      <c r="N16" s="10">
        <f>231+105</f>
        <v>336</v>
      </c>
      <c r="O16" s="10">
        <v>0.95</v>
      </c>
      <c r="P16" s="11">
        <f>O16*N16*C16</f>
        <v>5362.56</v>
      </c>
      <c r="Q16" s="12">
        <f>P16/3600</f>
        <v>1.4896</v>
      </c>
      <c r="R16" s="13">
        <f>0.65*Q16</f>
        <v>0.9682400000000001</v>
      </c>
    </row>
    <row r="17" spans="1:18" x14ac:dyDescent="0.25">
      <c r="A17" s="14" t="s">
        <v>41</v>
      </c>
      <c r="B17" s="10">
        <f>D17+I17+N17</f>
        <v>1012</v>
      </c>
      <c r="C17" s="10">
        <v>16.8</v>
      </c>
      <c r="D17" s="10">
        <v>212</v>
      </c>
      <c r="E17" s="10">
        <v>0.95</v>
      </c>
      <c r="F17" s="11">
        <f>D17*E17*C17</f>
        <v>3383.52</v>
      </c>
      <c r="G17" s="12">
        <f>F17/3600</f>
        <v>0.93986666666666663</v>
      </c>
      <c r="H17" s="12">
        <f>G17*0.65</f>
        <v>0.61091333333333331</v>
      </c>
      <c r="I17" s="10">
        <f>1012-N17-D17</f>
        <v>606</v>
      </c>
      <c r="J17" s="10">
        <v>0.3</v>
      </c>
      <c r="K17" s="11">
        <f>C17*J17*I17</f>
        <v>3054.2400000000002</v>
      </c>
      <c r="L17" s="12">
        <f>K17/3600</f>
        <v>0.84840000000000004</v>
      </c>
      <c r="M17" s="12">
        <f>L17*0.65</f>
        <v>0.55146000000000006</v>
      </c>
      <c r="N17" s="10">
        <v>194</v>
      </c>
      <c r="O17" s="10">
        <v>0.95</v>
      </c>
      <c r="P17" s="11">
        <f>O17*N17*C17</f>
        <v>3096.24</v>
      </c>
      <c r="Q17" s="12">
        <f>P17/3600</f>
        <v>0.86006666666666665</v>
      </c>
      <c r="R17" s="13">
        <f>0.65*Q17</f>
        <v>0.55904333333333334</v>
      </c>
    </row>
    <row r="18" spans="1:18" x14ac:dyDescent="0.25">
      <c r="B18" s="4">
        <f>B16+B17</f>
        <v>2024</v>
      </c>
      <c r="H18" s="5" t="s">
        <v>48</v>
      </c>
    </row>
    <row r="20" spans="1:18" x14ac:dyDescent="0.25">
      <c r="A20" s="2" t="s">
        <v>35</v>
      </c>
      <c r="B20" s="6">
        <f>F10+P10</f>
        <v>6974.5199999999995</v>
      </c>
      <c r="C20" s="2" t="s">
        <v>36</v>
      </c>
    </row>
    <row r="21" spans="1:18" x14ac:dyDescent="0.25">
      <c r="A21" s="2" t="s">
        <v>37</v>
      </c>
      <c r="B21" s="6">
        <f>F11+P11</f>
        <v>5458.32</v>
      </c>
      <c r="C21" s="2" t="s">
        <v>36</v>
      </c>
    </row>
    <row r="22" spans="1:18" x14ac:dyDescent="0.25">
      <c r="A22" s="2" t="s">
        <v>38</v>
      </c>
      <c r="B22" s="6">
        <f>F12+P12</f>
        <v>4253.76</v>
      </c>
      <c r="C22" s="2" t="s">
        <v>36</v>
      </c>
    </row>
    <row r="23" spans="1:18" x14ac:dyDescent="0.25">
      <c r="A23" s="1" t="s">
        <v>26</v>
      </c>
      <c r="B23" s="7">
        <f>SUM(B20:B22)</f>
        <v>16686.599999999999</v>
      </c>
      <c r="C23" s="1" t="s">
        <v>36</v>
      </c>
      <c r="D23" s="2" t="s">
        <v>39</v>
      </c>
    </row>
    <row r="24" spans="1:18" x14ac:dyDescent="0.25">
      <c r="A24" s="2" t="s">
        <v>34</v>
      </c>
    </row>
    <row r="26" spans="1:18" x14ac:dyDescent="0.25">
      <c r="B26" s="1">
        <v>25000</v>
      </c>
      <c r="C26" s="1" t="s">
        <v>53</v>
      </c>
    </row>
  </sheetData>
  <mergeCells count="6">
    <mergeCell ref="D8:H8"/>
    <mergeCell ref="I8:M8"/>
    <mergeCell ref="N8:R8"/>
    <mergeCell ref="D14:H14"/>
    <mergeCell ref="I14:M14"/>
    <mergeCell ref="N14:R14"/>
  </mergeCells>
  <pageMargins left="0.7" right="0.7" top="0.75" bottom="0.75" header="0.3" footer="0.3"/>
  <pageSetup paperSize="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S48"/>
  <sheetViews>
    <sheetView zoomScale="55" zoomScaleNormal="55" workbookViewId="0">
      <selection activeCell="N37" sqref="N37"/>
    </sheetView>
  </sheetViews>
  <sheetFormatPr defaultRowHeight="15" x14ac:dyDescent="0.25"/>
  <cols>
    <col min="10" max="10" width="10.42578125" customWidth="1"/>
    <col min="11" max="11" width="7" bestFit="1" customWidth="1"/>
    <col min="12" max="12" width="8.42578125" bestFit="1" customWidth="1"/>
  </cols>
  <sheetData>
    <row r="8" spans="9:16" x14ac:dyDescent="0.25">
      <c r="N8" t="s">
        <v>75</v>
      </c>
    </row>
    <row r="9" spans="9:16" x14ac:dyDescent="0.25">
      <c r="J9" s="42" t="s">
        <v>71</v>
      </c>
      <c r="K9" t="e">
        <f>#REF!</f>
        <v>#REF!</v>
      </c>
      <c r="L9" t="s">
        <v>72</v>
      </c>
      <c r="N9" t="s">
        <v>78</v>
      </c>
      <c r="O9">
        <v>15</v>
      </c>
      <c r="P9" t="s">
        <v>103</v>
      </c>
    </row>
    <row r="10" spans="9:16" x14ac:dyDescent="0.25">
      <c r="J10" s="42" t="s">
        <v>73</v>
      </c>
      <c r="K10">
        <v>50</v>
      </c>
      <c r="L10" t="s">
        <v>74</v>
      </c>
      <c r="N10" t="s">
        <v>79</v>
      </c>
      <c r="O10">
        <v>0.85</v>
      </c>
      <c r="P10" t="s">
        <v>83</v>
      </c>
    </row>
    <row r="11" spans="9:16" x14ac:dyDescent="0.25">
      <c r="J11" s="42" t="s">
        <v>73</v>
      </c>
      <c r="K11">
        <f>K10/1000*35</f>
        <v>1.75</v>
      </c>
      <c r="L11" t="s">
        <v>72</v>
      </c>
      <c r="N11" t="s">
        <v>80</v>
      </c>
      <c r="P11" t="s">
        <v>82</v>
      </c>
    </row>
    <row r="12" spans="9:16" x14ac:dyDescent="0.25">
      <c r="J12" s="42" t="s">
        <v>77</v>
      </c>
      <c r="K12">
        <v>0.35</v>
      </c>
      <c r="N12" t="s">
        <v>81</v>
      </c>
      <c r="O12">
        <v>0.25</v>
      </c>
      <c r="P12" t="s">
        <v>102</v>
      </c>
    </row>
    <row r="15" spans="9:16" x14ac:dyDescent="0.25">
      <c r="K15" t="s">
        <v>76</v>
      </c>
    </row>
    <row r="16" spans="9:16" x14ac:dyDescent="0.25">
      <c r="I16" t="s">
        <v>101</v>
      </c>
      <c r="J16" s="44" t="s">
        <v>71</v>
      </c>
      <c r="K16" s="44" t="s">
        <v>73</v>
      </c>
      <c r="L16" s="44" t="s">
        <v>77</v>
      </c>
    </row>
    <row r="17" spans="9:19" x14ac:dyDescent="0.25">
      <c r="I17">
        <v>35</v>
      </c>
      <c r="J17" s="43">
        <v>528</v>
      </c>
      <c r="K17" s="43">
        <f>K11</f>
        <v>1.75</v>
      </c>
      <c r="L17" s="43">
        <v>0.35</v>
      </c>
    </row>
    <row r="18" spans="9:19" x14ac:dyDescent="0.25">
      <c r="K18">
        <f>J17+(K17*(1-L17))</f>
        <v>529.13750000000005</v>
      </c>
    </row>
    <row r="20" spans="9:19" x14ac:dyDescent="0.25">
      <c r="K20" s="44" t="s">
        <v>71</v>
      </c>
      <c r="L20" s="44" t="s">
        <v>73</v>
      </c>
      <c r="M20" s="44" t="s">
        <v>77</v>
      </c>
      <c r="N20" s="44" t="s">
        <v>98</v>
      </c>
      <c r="O20" s="44" t="s">
        <v>98</v>
      </c>
      <c r="P20" s="44" t="s">
        <v>99</v>
      </c>
      <c r="Q20" s="44" t="s">
        <v>79</v>
      </c>
      <c r="R20" s="44" t="s">
        <v>80</v>
      </c>
      <c r="S20" s="44" t="s">
        <v>81</v>
      </c>
    </row>
    <row r="21" spans="9:19" x14ac:dyDescent="0.25">
      <c r="K21" s="48" t="s">
        <v>100</v>
      </c>
      <c r="L21" s="48" t="s">
        <v>85</v>
      </c>
      <c r="M21" s="48"/>
      <c r="N21" s="49" t="s">
        <v>100</v>
      </c>
      <c r="O21" s="48"/>
      <c r="P21" s="48" t="s">
        <v>85</v>
      </c>
      <c r="S21" s="49" t="s">
        <v>100</v>
      </c>
    </row>
    <row r="22" spans="9:19" x14ac:dyDescent="0.25">
      <c r="I22">
        <v>31</v>
      </c>
      <c r="J22" t="s">
        <v>86</v>
      </c>
      <c r="K22" s="43" t="e">
        <f>$K$9*I22</f>
        <v>#REF!</v>
      </c>
      <c r="L22" s="43">
        <v>76</v>
      </c>
      <c r="M22" s="43">
        <f>$L$17</f>
        <v>0.35</v>
      </c>
      <c r="N22" s="46" t="e">
        <f>K22+((L22/1000*$I$17)*(1-$L$17))</f>
        <v>#REF!</v>
      </c>
      <c r="O22" s="45">
        <f>P22/1000*I17*Q22+R22+S22</f>
        <v>78.933750000000003</v>
      </c>
      <c r="P22" s="43">
        <f>$O$9*I22</f>
        <v>465</v>
      </c>
      <c r="Q22" s="43">
        <f>$O$10</f>
        <v>0.85</v>
      </c>
      <c r="R22" s="43">
        <v>0</v>
      </c>
      <c r="S22" s="43">
        <f>$O$12/100*$I$17*24*I22</f>
        <v>65.100000000000009</v>
      </c>
    </row>
    <row r="23" spans="9:19" x14ac:dyDescent="0.25">
      <c r="I23">
        <v>28</v>
      </c>
      <c r="J23" t="s">
        <v>87</v>
      </c>
      <c r="K23" s="43" t="e">
        <f t="shared" ref="K23:K33" si="0">$K$9*I23</f>
        <v>#REF!</v>
      </c>
      <c r="L23" s="43">
        <v>75</v>
      </c>
      <c r="M23" s="43">
        <f t="shared" ref="M23:M33" si="1">$L$17</f>
        <v>0.35</v>
      </c>
      <c r="N23" s="46" t="e">
        <f>K23+((L23/1000*$I$17)*(1-$L$17))</f>
        <v>#REF!</v>
      </c>
      <c r="O23" s="45">
        <f t="shared" ref="O23:O32" si="2">P23/1000*I18*Q23+R23+S23</f>
        <v>58.800000000000004</v>
      </c>
      <c r="P23" s="43">
        <f t="shared" ref="P23:P32" si="3">$O$9*I23</f>
        <v>420</v>
      </c>
      <c r="Q23" s="43">
        <f t="shared" ref="Q23:Q33" si="4">$O$10</f>
        <v>0.85</v>
      </c>
      <c r="R23" s="43">
        <v>0</v>
      </c>
      <c r="S23" s="43">
        <f t="shared" ref="S23:S33" si="5">$O$12/100*$I$17*24*I23</f>
        <v>58.800000000000004</v>
      </c>
    </row>
    <row r="24" spans="9:19" x14ac:dyDescent="0.25">
      <c r="I24">
        <v>31</v>
      </c>
      <c r="J24" t="s">
        <v>88</v>
      </c>
      <c r="K24" s="43" t="e">
        <f t="shared" si="0"/>
        <v>#REF!</v>
      </c>
      <c r="L24" s="43">
        <v>88</v>
      </c>
      <c r="M24" s="43">
        <f t="shared" si="1"/>
        <v>0.35</v>
      </c>
      <c r="N24" s="46" t="e">
        <f t="shared" ref="N24:N33" si="6">K24+((L24/1000*$I$17)*(1-$L$17))</f>
        <v>#REF!</v>
      </c>
      <c r="O24" s="45">
        <f t="shared" si="2"/>
        <v>65.100000000000009</v>
      </c>
      <c r="P24" s="43">
        <f t="shared" si="3"/>
        <v>465</v>
      </c>
      <c r="Q24" s="43">
        <f t="shared" si="4"/>
        <v>0.85</v>
      </c>
      <c r="R24" s="43">
        <v>0</v>
      </c>
      <c r="S24" s="43">
        <f t="shared" si="5"/>
        <v>65.100000000000009</v>
      </c>
    </row>
    <row r="25" spans="9:19" x14ac:dyDescent="0.25">
      <c r="I25">
        <v>30</v>
      </c>
      <c r="J25" t="s">
        <v>89</v>
      </c>
      <c r="K25" s="43" t="e">
        <f t="shared" si="0"/>
        <v>#REF!</v>
      </c>
      <c r="L25" s="43">
        <v>102</v>
      </c>
      <c r="M25" s="43">
        <f t="shared" si="1"/>
        <v>0.35</v>
      </c>
      <c r="N25" s="46" t="e">
        <f t="shared" si="6"/>
        <v>#REF!</v>
      </c>
      <c r="O25" s="45">
        <f t="shared" si="2"/>
        <v>63</v>
      </c>
      <c r="P25" s="43">
        <f t="shared" si="3"/>
        <v>450</v>
      </c>
      <c r="Q25" s="43">
        <f t="shared" si="4"/>
        <v>0.85</v>
      </c>
      <c r="R25" s="43">
        <v>0</v>
      </c>
      <c r="S25" s="43">
        <f t="shared" si="5"/>
        <v>63</v>
      </c>
    </row>
    <row r="26" spans="9:19" x14ac:dyDescent="0.25">
      <c r="I26">
        <v>31</v>
      </c>
      <c r="J26" t="s">
        <v>90</v>
      </c>
      <c r="K26" s="43" t="e">
        <f t="shared" si="0"/>
        <v>#REF!</v>
      </c>
      <c r="L26" s="43">
        <v>114</v>
      </c>
      <c r="M26" s="43">
        <f t="shared" si="1"/>
        <v>0.35</v>
      </c>
      <c r="N26" s="46" t="e">
        <f t="shared" si="6"/>
        <v>#REF!</v>
      </c>
      <c r="O26" s="45">
        <f t="shared" si="2"/>
        <v>65.100000000000009</v>
      </c>
      <c r="P26" s="43">
        <f t="shared" si="3"/>
        <v>465</v>
      </c>
      <c r="Q26" s="43">
        <f t="shared" si="4"/>
        <v>0.85</v>
      </c>
      <c r="R26" s="43">
        <v>0</v>
      </c>
      <c r="S26" s="43">
        <f t="shared" si="5"/>
        <v>65.100000000000009</v>
      </c>
    </row>
    <row r="27" spans="9:19" x14ac:dyDescent="0.25">
      <c r="I27">
        <v>30</v>
      </c>
      <c r="J27" t="s">
        <v>91</v>
      </c>
      <c r="K27" s="43" t="e">
        <f t="shared" si="0"/>
        <v>#REF!</v>
      </c>
      <c r="L27" s="43">
        <v>132</v>
      </c>
      <c r="M27" s="43">
        <f t="shared" si="1"/>
        <v>0.35</v>
      </c>
      <c r="N27" s="46" t="e">
        <f t="shared" si="6"/>
        <v>#REF!</v>
      </c>
      <c r="O27" s="45">
        <f t="shared" si="2"/>
        <v>74.857500000000002</v>
      </c>
      <c r="P27" s="43">
        <f t="shared" si="3"/>
        <v>450</v>
      </c>
      <c r="Q27" s="43">
        <f t="shared" si="4"/>
        <v>0.85</v>
      </c>
      <c r="R27" s="43">
        <v>0</v>
      </c>
      <c r="S27" s="43">
        <f t="shared" si="5"/>
        <v>63</v>
      </c>
    </row>
    <row r="28" spans="9:19" x14ac:dyDescent="0.25">
      <c r="I28">
        <v>31</v>
      </c>
      <c r="J28" t="s">
        <v>92</v>
      </c>
      <c r="K28" s="43" t="e">
        <f t="shared" si="0"/>
        <v>#REF!</v>
      </c>
      <c r="L28" s="43">
        <v>154</v>
      </c>
      <c r="M28" s="43">
        <f t="shared" si="1"/>
        <v>0.35</v>
      </c>
      <c r="N28" s="46" t="e">
        <f t="shared" si="6"/>
        <v>#REF!</v>
      </c>
      <c r="O28" s="45">
        <f t="shared" si="2"/>
        <v>76.167000000000002</v>
      </c>
      <c r="P28" s="43">
        <f t="shared" si="3"/>
        <v>465</v>
      </c>
      <c r="Q28" s="43">
        <f t="shared" si="4"/>
        <v>0.85</v>
      </c>
      <c r="R28" s="43">
        <v>0</v>
      </c>
      <c r="S28" s="43">
        <f t="shared" si="5"/>
        <v>65.100000000000009</v>
      </c>
    </row>
    <row r="29" spans="9:19" x14ac:dyDescent="0.25">
      <c r="I29">
        <v>31</v>
      </c>
      <c r="J29" t="s">
        <v>93</v>
      </c>
      <c r="K29" s="43" t="e">
        <f t="shared" si="0"/>
        <v>#REF!</v>
      </c>
      <c r="L29" s="43">
        <v>137</v>
      </c>
      <c r="M29" s="43">
        <f t="shared" si="1"/>
        <v>0.35</v>
      </c>
      <c r="N29" s="46" t="e">
        <f t="shared" si="6"/>
        <v>#REF!</v>
      </c>
      <c r="O29" s="45">
        <f t="shared" si="2"/>
        <v>77.352750000000015</v>
      </c>
      <c r="P29" s="43">
        <f t="shared" si="3"/>
        <v>465</v>
      </c>
      <c r="Q29" s="43">
        <f t="shared" si="4"/>
        <v>0.85</v>
      </c>
      <c r="R29" s="43">
        <v>0</v>
      </c>
      <c r="S29" s="43">
        <f t="shared" si="5"/>
        <v>65.100000000000009</v>
      </c>
    </row>
    <row r="30" spans="9:19" x14ac:dyDescent="0.25">
      <c r="I30">
        <v>30</v>
      </c>
      <c r="J30" t="s">
        <v>94</v>
      </c>
      <c r="K30" s="43" t="e">
        <f t="shared" si="0"/>
        <v>#REF!</v>
      </c>
      <c r="L30" s="43">
        <v>107</v>
      </c>
      <c r="M30" s="43">
        <f t="shared" si="1"/>
        <v>0.35</v>
      </c>
      <c r="N30" s="46" t="e">
        <f t="shared" si="6"/>
        <v>#REF!</v>
      </c>
      <c r="O30" s="45">
        <f t="shared" si="2"/>
        <v>74.474999999999994</v>
      </c>
      <c r="P30" s="43">
        <f t="shared" si="3"/>
        <v>450</v>
      </c>
      <c r="Q30" s="43">
        <f t="shared" si="4"/>
        <v>0.85</v>
      </c>
      <c r="R30" s="43">
        <v>0</v>
      </c>
      <c r="S30" s="43">
        <f t="shared" si="5"/>
        <v>63</v>
      </c>
    </row>
    <row r="31" spans="9:19" x14ac:dyDescent="0.25">
      <c r="I31">
        <v>31</v>
      </c>
      <c r="J31" t="s">
        <v>95</v>
      </c>
      <c r="K31" s="43" t="e">
        <f t="shared" si="0"/>
        <v>#REF!</v>
      </c>
      <c r="L31" s="43">
        <v>98</v>
      </c>
      <c r="M31" s="43">
        <f t="shared" si="1"/>
        <v>0.35</v>
      </c>
      <c r="N31" s="46" t="e">
        <f t="shared" si="6"/>
        <v>#REF!</v>
      </c>
      <c r="O31" s="45">
        <f t="shared" si="2"/>
        <v>77.352750000000015</v>
      </c>
      <c r="P31" s="43">
        <f t="shared" si="3"/>
        <v>465</v>
      </c>
      <c r="Q31" s="43">
        <f t="shared" si="4"/>
        <v>0.85</v>
      </c>
      <c r="R31" s="43">
        <v>0</v>
      </c>
      <c r="S31" s="43">
        <f t="shared" si="5"/>
        <v>65.100000000000009</v>
      </c>
    </row>
    <row r="32" spans="9:19" x14ac:dyDescent="0.25">
      <c r="I32">
        <v>30</v>
      </c>
      <c r="J32" t="s">
        <v>96</v>
      </c>
      <c r="K32" s="43" t="e">
        <f t="shared" si="0"/>
        <v>#REF!</v>
      </c>
      <c r="L32" s="43">
        <v>81</v>
      </c>
      <c r="M32" s="43">
        <f t="shared" si="1"/>
        <v>0.35</v>
      </c>
      <c r="N32" s="46" t="e">
        <f t="shared" si="6"/>
        <v>#REF!</v>
      </c>
      <c r="O32" s="45">
        <f t="shared" si="2"/>
        <v>74.474999999999994</v>
      </c>
      <c r="P32" s="43">
        <f t="shared" si="3"/>
        <v>450</v>
      </c>
      <c r="Q32" s="43">
        <f t="shared" si="4"/>
        <v>0.85</v>
      </c>
      <c r="R32" s="43">
        <v>0</v>
      </c>
      <c r="S32" s="43">
        <f t="shared" si="5"/>
        <v>63</v>
      </c>
    </row>
    <row r="33" spans="1:19" x14ac:dyDescent="0.25">
      <c r="I33">
        <v>31</v>
      </c>
      <c r="J33" t="s">
        <v>97</v>
      </c>
      <c r="K33" s="43" t="e">
        <f t="shared" si="0"/>
        <v>#REF!</v>
      </c>
      <c r="L33" s="43">
        <v>104</v>
      </c>
      <c r="M33" s="43">
        <f t="shared" si="1"/>
        <v>0.35</v>
      </c>
      <c r="N33" s="46" t="e">
        <f t="shared" si="6"/>
        <v>#REF!</v>
      </c>
      <c r="O33" s="46">
        <f>L33+((M33/1000*$I$17)*(1-$L$17))</f>
        <v>104.0079625</v>
      </c>
      <c r="P33" s="46" t="e">
        <f>M33+((N33/1000*$I$17)*(1-$L$17))</f>
        <v>#REF!</v>
      </c>
      <c r="Q33" s="43">
        <f t="shared" si="4"/>
        <v>0.85</v>
      </c>
      <c r="R33" s="43">
        <v>0</v>
      </c>
      <c r="S33" s="43">
        <f t="shared" si="5"/>
        <v>65.100000000000009</v>
      </c>
    </row>
    <row r="34" spans="1:19" x14ac:dyDescent="0.25">
      <c r="J34" s="47" t="s">
        <v>26</v>
      </c>
      <c r="K34" s="44" t="e">
        <f>SUM(K22:K33)</f>
        <v>#REF!</v>
      </c>
      <c r="L34" s="44">
        <f>SUM(L22:L33)</f>
        <v>1268</v>
      </c>
      <c r="M34" s="44"/>
      <c r="N34" s="44" t="e">
        <f>SUM(N22:N33)</f>
        <v>#REF!</v>
      </c>
    </row>
    <row r="37" spans="1:19" x14ac:dyDescent="0.25">
      <c r="L37" t="s">
        <v>104</v>
      </c>
    </row>
    <row r="48" spans="1:19" x14ac:dyDescent="0.25">
      <c r="A48" t="s">
        <v>84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mean_monthly_rainfall_mm</vt:lpstr>
      <vt:lpstr>Sheet1</vt:lpstr>
      <vt:lpstr>Waste Water (2)</vt:lpstr>
      <vt:lpstr>Stormwater</vt:lpstr>
      <vt:lpstr>Stormwater pervious concrete</vt:lpstr>
      <vt:lpstr>ETS sizing</vt:lpstr>
      <vt:lpstr>'Waste Water (2)'!Print_Area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2016-08-06T03:47:23Z</cp:lastPrinted>
  <dcterms:created xsi:type="dcterms:W3CDTF">2016-07-28T21:34:40Z</dcterms:created>
  <dcterms:modified xsi:type="dcterms:W3CDTF">2016-11-21T02:22:20Z</dcterms:modified>
</cp:coreProperties>
</file>